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ATA\EXCEL\WATER\MANAGE\Regulation\Regulatory Accounts\2018-19\PR14 reconciliation updates for 18-19\Submission\"/>
    </mc:Choice>
  </mc:AlternateContent>
  <bookViews>
    <workbookView xWindow="0" yWindow="0" windowWidth="20160" windowHeight="8868"/>
  </bookViews>
  <sheets>
    <sheet name="Inputs" sheetId="4" r:id="rId1"/>
    <sheet name="Calcs" sheetId="5" r:id="rId2"/>
    <sheet name="Totex menu adjustments" sheetId="8" r:id="rId3"/>
    <sheet name="RPI" sheetId="7" r:id="rId4"/>
    <sheet name="Timeline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Actual.Exclusions.Sewerage">Inputs!$L$66:$P$70</definedName>
    <definedName name="Actual.Exclusions.Water">Inputs!$L$60:$P$64</definedName>
    <definedName name="Actual.PDRC.Sewerage">Inputs!$L$68:$P$68</definedName>
    <definedName name="Actual.PDRC.Water">Inputs!$L$62:$P$62</definedName>
    <definedName name="Actual.Totex.Sewerage">Inputs!$L$53:$P$53</definedName>
    <definedName name="Actual.Totex.Water">Inputs!$L$52:$P$52</definedName>
    <definedName name="Add.Income.1stOrder">Inputs!$H$120</definedName>
    <definedName name="Add.Income.2ndOrder">Inputs!$H$121</definedName>
    <definedName name="Add.Income.Constant">Inputs!$H$119</definedName>
    <definedName name="AddInc.Coeff.Sewerage">Calcs!$G$70</definedName>
    <definedName name="AddInc.Coeff.Water">Calcs!$G$65</definedName>
    <definedName name="All.Totex.Sewerage">Inputs!$L$47:$P$47</definedName>
    <definedName name="All.Totex.Water">Inputs!$L$46:$P$46</definedName>
    <definedName name="AllExp.Coeff.Sewerage">Calcs!$G$69</definedName>
    <definedName name="AllExp.Coeff.Water">Calcs!$G$64</definedName>
    <definedName name="Allowed.Exp.Constant">Inputs!$H$117</definedName>
    <definedName name="Allowed.Exp.Slope">Inputs!$H$118</definedName>
    <definedName name="Allowed.totex.final.memu.sewerage">Calcs!$L$149:$P$149</definedName>
    <definedName name="Allowed.totex.final.menu.water">Calcs!$L$148:$P$148</definedName>
    <definedName name="AMP.Years">Timeline!$I$3:$U$3</definedName>
    <definedName name="Baseline.Adj.Sewerage">Inputs!#REF!</definedName>
    <definedName name="Baseline.Adj.Water">Inputs!#REF!</definedName>
    <definedName name="Baseline.Totex">Calcs!#REF!</definedName>
    <definedName name="Baseline.Totex.Sewerage">Inputs!$L$41:$P$41</definedName>
    <definedName name="Baseline.Totex.Water">Inputs!$L$40:$P$40</definedName>
    <definedName name="Baseyear">Inputs!$I$3</definedName>
    <definedName name="BR.IDoK.Water">Inputs!$L$140:$P$140</definedName>
    <definedName name="Calendar.Years">Timeline!$I$5:$U$5</definedName>
    <definedName name="Choice.BP">Inputs!$H$100</definedName>
    <definedName name="CIS.FD.RCV.Waste">'[1]Inputs - waste'!$I$11:$S$11</definedName>
    <definedName name="CIS.FD.RCV.Water">'[1]Inputs - water'!$I$11:$S$11</definedName>
    <definedName name="CIS.FD.Revenue.Waste">'[1]Inputs - waste'!$I$12:$S$12</definedName>
    <definedName name="CIS.FD.Revenue.Water">'[1]Inputs - water'!$I$12:$S$12</definedName>
    <definedName name="CIS.Outturn.RCV.Waste">'[1]Inputs - waste'!$I$16:$S$16</definedName>
    <definedName name="CIS.Outturn.RCV.Water">'[1]Inputs - water'!$I$16:$S$16</definedName>
    <definedName name="CIS.Outturn.Revenue.Waste">'[1]Inputs - waste'!$I$17:$S$17</definedName>
    <definedName name="CIS.Outturn.Revenue.Water">'[1]Inputs - water'!$I$17:$S$17</definedName>
    <definedName name="Company.Baseline">Inputs!$H$104</definedName>
    <definedName name="Company.Slope">Inputs!$H$105</definedName>
    <definedName name="CompanyEnhanced">Inputs!$H$13</definedName>
    <definedName name="CompanyForecase.Int">Inputs!$H$109</definedName>
    <definedName name="CompanyName">Inputs!$H$11</definedName>
    <definedName name="CompanyType">Inputs!$H$12</definedName>
    <definedName name="Eff.Inc.Constant">Inputs!$H$115</definedName>
    <definedName name="Eff.Inc.Slope">Inputs!$H$116</definedName>
    <definedName name="EffInc.Coeff.Sewerage">Calcs!$G$68</definedName>
    <definedName name="EffInc.Coeff.Water">Calcs!$G$63</definedName>
    <definedName name="Enhanced.Baseline">Inputs!$H$86</definedName>
    <definedName name="Enhanced.Flag">Inputs!$K$13</definedName>
    <definedName name="FD.AddInc.Coeff.Sewerage">Calcs!$G$58</definedName>
    <definedName name="FD.AddInc.Coeff.Water">Calcs!$G$53</definedName>
    <definedName name="FD.AddInc.Sewerage">Inputs!#REF!</definedName>
    <definedName name="FD.AddInc.Water">Inputs!#REF!</definedName>
    <definedName name="FD.AllExp.Coeff.Sewerage">Calcs!$G$57</definedName>
    <definedName name="FD.AllExp.Coeff.Water">Calcs!$G$52</definedName>
    <definedName name="FD.EffInc.Coeff.Sewerage">Calcs!$G$56</definedName>
    <definedName name="FD.EffInc.Coeff.Water">Calcs!$G$51</definedName>
    <definedName name="FD.Menu.Choice.Sewerage">Inputs!$H$23</definedName>
    <definedName name="FD.Menu.Choice.Water">Inputs!$H$22</definedName>
    <definedName name="FD.PDRC.Sewerage">Inputs!$L$27:$P$27</definedName>
    <definedName name="FD.PDRC.Water">Inputs!$L$26:$P$26</definedName>
    <definedName name="Financing.Rate">'[1]Inputs - general'!$H$10</definedName>
    <definedName name="IDoK.Sewerage">Inputs!#REF!</definedName>
    <definedName name="IDoK.Water">Inputs!#REF!</definedName>
    <definedName name="Indexation.Average">RPI!$I$49:$U$49</definedName>
    <definedName name="Indexation.Average.Override">RPI!$I$48:$U$48</definedName>
    <definedName name="Indexation.Check">RPI!$I$26:$U$26</definedName>
    <definedName name="Indexation.November">RPI!$I$45:$U$45</definedName>
    <definedName name="Indexation.November.Override">RPI!$I$44:$U$44</definedName>
    <definedName name="Inflation.Yearly.Average">RPI!$I$51:$U$51</definedName>
    <definedName name="IP.logging.Adj.TTT">Inputs!$L$147:$P$147</definedName>
    <definedName name="LB.AddInc">Calcs!$G$46</definedName>
    <definedName name="LB.AllExp">Calcs!$G$45</definedName>
    <definedName name="LB.Chosen">Inputs!$H$97</definedName>
    <definedName name="LB.EffInc">Calcs!$G$44</definedName>
    <definedName name="LB.Enhanced">Inputs!$H$93</definedName>
    <definedName name="LB.NonEnhanced">Inputs!$H$94</definedName>
    <definedName name="LegacyDep.Sewerage">Inputs!$L$79:$P$79</definedName>
    <definedName name="LegacyDep.Water">Inputs!$L$76:$P$76</definedName>
    <definedName name="Logging.TTT.Land">Inputs!$L$72:$P$72</definedName>
    <definedName name="Logging.TTT.scopeswaps">Inputs!$L$71:$P$71</definedName>
    <definedName name="Materiality.Threshold">'[1]Inputs - general'!$H$14</definedName>
    <definedName name="Menu.Choice.Sewerage">Inputs!$H$33</definedName>
    <definedName name="Menu.Choice.Water">Inputs!$H$32</definedName>
    <definedName name="Menu.Totex">Calcs!$L$32:$P$32</definedName>
    <definedName name="Menu.Totex.Sewerage">Calcs!$L$31:$P$31</definedName>
    <definedName name="Menu.Totex.Water">Calcs!$L$30:$P$30</definedName>
    <definedName name="NonEnhanced.Baseline">Inputs!$H$87</definedName>
    <definedName name="OfwatBaseline.Int">Inputs!$H$108</definedName>
    <definedName name="Outturn.BP">Inputs!$H$101</definedName>
    <definedName name="PAYG.Sewerage">Inputs!$L$126:$P$126</definedName>
    <definedName name="PAYG.Water">Inputs!$L$125:$P$125</definedName>
    <definedName name="_xlnm.Print_Area" localSheetId="1">Calcs!$A$1:$Y$191</definedName>
    <definedName name="_xlnm.Print_Area" localSheetId="3">RPI!$A$1:$V$51</definedName>
    <definedName name="_xlnm.Print_Area" localSheetId="2">'Totex menu adjustments'!$A$1:$P$23</definedName>
    <definedName name="RCM.FD.BillingAdj.Waste">'[1]Inputs - waste'!$I$25:$S$25</definedName>
    <definedName name="RCM.FD.BillingAdj.Water">'[1]Inputs - water'!$I$25:$S$25</definedName>
    <definedName name="RCM.FD.RevCorrection.Waste">'[1]Inputs - waste'!$I$24:$S$24</definedName>
    <definedName name="RCM.FD.RevCorrection.Water">'[1]Inputs - water'!$I$24:$S$24</definedName>
    <definedName name="RCM.Outturn.BillingAdj.Waste">'[1]Inputs - waste'!$I$29:$S$29</definedName>
    <definedName name="RCM.Outturn.BillingAdj.Water">'[1]Inputs - water'!$I$29:$S$29</definedName>
    <definedName name="RCM.Outturn.RevCorrection.Waste">'[1]Inputs - waste'!$I$28:$S$28</definedName>
    <definedName name="RCM.Outturn.RevCorrection.Water">'[1]Inputs - water'!$I$28:$S$28</definedName>
    <definedName name="Serviceability.FD.RCVShortfall.Waste">'[1]Inputs - waste'!$I$35:$S$35</definedName>
    <definedName name="Serviceability.FD.RCVShortfall.Water">'[1]Inputs - water'!$I$35:$S$35</definedName>
    <definedName name="Serviceability.Outturn.RCVShortfall.Waste">'[1]Inputs - waste'!$I$38:$S$38</definedName>
    <definedName name="Serviceability.Outturn.RCVShortfall.Water">'[1]Inputs - water'!$I$38:$S$38</definedName>
    <definedName name="Total.Adj.Sewerage">Calcs!$P$175</definedName>
    <definedName name="Total.Adj.Water">Calcs!$P$174</definedName>
    <definedName name="Totex.Adj.Sewerage">Calcs!$L$167:$P$167</definedName>
    <definedName name="Totex.Adj.Water">Calcs!$L$166:$P$166</definedName>
    <definedName name="TransitionExp.Sewerage">Inputs!$K$78</definedName>
    <definedName name="TransitionExp.Water">Inputs!$K$75</definedName>
    <definedName name="UB.AddInc">Calcs!$G$41</definedName>
    <definedName name="UB.AllExp">Calcs!$G$40</definedName>
    <definedName name="UB.Chosen">Inputs!$H$96</definedName>
    <definedName name="UB.EffInc">Calcs!$G$39</definedName>
    <definedName name="UB.Enhanced">Inputs!$H$90</definedName>
    <definedName name="UB.NonEnhanced">Inputs!$H$91</definedName>
    <definedName name="WACC">Inputs!$H$15</definedName>
    <definedName name="WeightedPAYG.Sewerage">Calcs!$G$193</definedName>
    <definedName name="WeightedPAYG.Water">Calcs!$G$192</definedName>
    <definedName name="WoC.Flag">Inputs!$K$12</definedName>
  </definedNames>
  <calcPr calcId="162913" calcOnSave="0"/>
</workbook>
</file>

<file path=xl/calcChain.xml><?xml version="1.0" encoding="utf-8"?>
<calcChain xmlns="http://schemas.openxmlformats.org/spreadsheetml/2006/main">
  <c r="P52" i="4" l="1"/>
  <c r="O62" i="4" l="1"/>
  <c r="P62" i="4" l="1"/>
  <c r="M62" i="4"/>
  <c r="L62" i="4"/>
  <c r="L61" i="4"/>
  <c r="N52" i="4"/>
  <c r="N62" i="4" l="1"/>
  <c r="N60" i="4"/>
  <c r="L60" i="4" l="1"/>
  <c r="M60" i="4" l="1"/>
  <c r="L52" i="4" l="1"/>
  <c r="M52" i="4" l="1"/>
  <c r="P60" i="4" l="1"/>
  <c r="M126" i="5" l="1"/>
  <c r="L126" i="5"/>
  <c r="K13" i="4" l="1"/>
  <c r="M140" i="5" l="1"/>
  <c r="N140" i="5"/>
  <c r="O140" i="5"/>
  <c r="P140" i="5"/>
  <c r="M141" i="5"/>
  <c r="N141" i="5"/>
  <c r="O141" i="5"/>
  <c r="P141" i="5"/>
  <c r="L141" i="5"/>
  <c r="L140" i="5" l="1"/>
  <c r="L23" i="5" l="1"/>
  <c r="L22" i="5"/>
  <c r="E23" i="5"/>
  <c r="E22" i="5"/>
  <c r="H105" i="4" l="1"/>
  <c r="P147" i="4" l="1"/>
  <c r="O147" i="4"/>
  <c r="N147" i="4"/>
  <c r="M147" i="4"/>
  <c r="L147" i="4"/>
  <c r="P7" i="4" l="1"/>
  <c r="M38" i="8" l="1"/>
  <c r="N38" i="8"/>
  <c r="O38" i="8"/>
  <c r="P38" i="8"/>
  <c r="L38" i="8"/>
  <c r="J5" i="8"/>
  <c r="K5" i="8"/>
  <c r="L5" i="8"/>
  <c r="M5" i="8"/>
  <c r="N5" i="8"/>
  <c r="O5" i="8"/>
  <c r="P5" i="8"/>
  <c r="Q5" i="8"/>
  <c r="R5" i="8"/>
  <c r="S5" i="8"/>
  <c r="T5" i="8"/>
  <c r="U5" i="8"/>
  <c r="I5" i="8"/>
  <c r="J3" i="8"/>
  <c r="K3" i="8"/>
  <c r="L3" i="8"/>
  <c r="M3" i="8"/>
  <c r="N3" i="8"/>
  <c r="O3" i="8"/>
  <c r="P3" i="8"/>
  <c r="Q3" i="8"/>
  <c r="R3" i="8"/>
  <c r="S3" i="8"/>
  <c r="T3" i="8"/>
  <c r="U3" i="8"/>
  <c r="I3" i="8"/>
  <c r="J40" i="7"/>
  <c r="K40" i="7" s="1"/>
  <c r="L40" i="7" s="1"/>
  <c r="M40" i="7" s="1"/>
  <c r="N40" i="7" s="1"/>
  <c r="I40" i="7"/>
  <c r="J39" i="7"/>
  <c r="K39" i="7" s="1"/>
  <c r="L39" i="7" s="1"/>
  <c r="M39" i="7" s="1"/>
  <c r="N39" i="7" s="1"/>
  <c r="I39" i="7"/>
  <c r="K38" i="7"/>
  <c r="L38" i="7" s="1"/>
  <c r="M38" i="7" s="1"/>
  <c r="N38" i="7" s="1"/>
  <c r="J38" i="7"/>
  <c r="I38" i="7"/>
  <c r="J37" i="7"/>
  <c r="K37" i="7" s="1"/>
  <c r="L37" i="7" s="1"/>
  <c r="M37" i="7" s="1"/>
  <c r="N37" i="7" s="1"/>
  <c r="I37" i="7"/>
  <c r="J36" i="7"/>
  <c r="K36" i="7" s="1"/>
  <c r="L36" i="7" s="1"/>
  <c r="M36" i="7" s="1"/>
  <c r="N36" i="7" s="1"/>
  <c r="I36" i="7"/>
  <c r="H36" i="7"/>
  <c r="J35" i="7"/>
  <c r="K35" i="7" s="1"/>
  <c r="L35" i="7" s="1"/>
  <c r="M35" i="7" s="1"/>
  <c r="N35" i="7" s="1"/>
  <c r="I35" i="7"/>
  <c r="J34" i="7"/>
  <c r="K34" i="7" s="1"/>
  <c r="L34" i="7" s="1"/>
  <c r="M34" i="7" s="1"/>
  <c r="N34" i="7" s="1"/>
  <c r="I34" i="7"/>
  <c r="K33" i="7"/>
  <c r="L33" i="7" s="1"/>
  <c r="M33" i="7" s="1"/>
  <c r="N33" i="7" s="1"/>
  <c r="J33" i="7"/>
  <c r="I33" i="7"/>
  <c r="J32" i="7"/>
  <c r="K32" i="7" s="1"/>
  <c r="L32" i="7" s="1"/>
  <c r="M32" i="7" s="1"/>
  <c r="N32" i="7" s="1"/>
  <c r="I32" i="7"/>
  <c r="J31" i="7"/>
  <c r="K31" i="7" s="1"/>
  <c r="L31" i="7" s="1"/>
  <c r="M31" i="7" s="1"/>
  <c r="N31" i="7" s="1"/>
  <c r="I31" i="7"/>
  <c r="J30" i="7"/>
  <c r="K30" i="7" s="1"/>
  <c r="L30" i="7" s="1"/>
  <c r="M30" i="7" s="1"/>
  <c r="N30" i="7" s="1"/>
  <c r="I30" i="7"/>
  <c r="K29" i="7"/>
  <c r="J29" i="7"/>
  <c r="I29" i="7"/>
  <c r="U5" i="7"/>
  <c r="T5" i="7"/>
  <c r="S5" i="7"/>
  <c r="R5" i="7"/>
  <c r="Q5" i="7"/>
  <c r="P5" i="7"/>
  <c r="O5" i="7"/>
  <c r="N5" i="7"/>
  <c r="M5" i="7"/>
  <c r="L5" i="7"/>
  <c r="K5" i="7"/>
  <c r="J5" i="7"/>
  <c r="I5" i="7"/>
  <c r="U3" i="7"/>
  <c r="T3" i="7"/>
  <c r="S3" i="7"/>
  <c r="R3" i="7"/>
  <c r="Q3" i="7"/>
  <c r="P3" i="7"/>
  <c r="O3" i="7"/>
  <c r="N3" i="7"/>
  <c r="M3" i="7"/>
  <c r="L3" i="7"/>
  <c r="K3" i="7"/>
  <c r="J3" i="7"/>
  <c r="U5" i="5"/>
  <c r="T5" i="5"/>
  <c r="S5" i="5"/>
  <c r="R5" i="5"/>
  <c r="Q5" i="5"/>
  <c r="P5" i="5"/>
  <c r="O5" i="5"/>
  <c r="N5" i="5"/>
  <c r="M5" i="5"/>
  <c r="L5" i="5"/>
  <c r="K5" i="5"/>
  <c r="J5" i="5"/>
  <c r="I5" i="5"/>
  <c r="U3" i="5"/>
  <c r="T3" i="5"/>
  <c r="S3" i="5"/>
  <c r="R3" i="5"/>
  <c r="Q3" i="5"/>
  <c r="P3" i="5"/>
  <c r="O3" i="5"/>
  <c r="N3" i="5"/>
  <c r="M3" i="5"/>
  <c r="L3" i="5"/>
  <c r="K3" i="5"/>
  <c r="J3" i="5"/>
  <c r="H118" i="4"/>
  <c r="H117" i="4"/>
  <c r="H116" i="4"/>
  <c r="H97" i="4"/>
  <c r="K12" i="4"/>
  <c r="U5" i="4"/>
  <c r="T5" i="4"/>
  <c r="S5" i="4"/>
  <c r="R5" i="4"/>
  <c r="Q5" i="4"/>
  <c r="P5" i="4"/>
  <c r="O5" i="4"/>
  <c r="N5" i="4"/>
  <c r="M5" i="4"/>
  <c r="L5" i="4"/>
  <c r="K5" i="4"/>
  <c r="J5" i="4"/>
  <c r="I5" i="4"/>
  <c r="U3" i="4"/>
  <c r="T3" i="4"/>
  <c r="S3" i="4"/>
  <c r="R3" i="4"/>
  <c r="Q3" i="4"/>
  <c r="P3" i="4"/>
  <c r="O3" i="4"/>
  <c r="N3" i="4"/>
  <c r="M3" i="4"/>
  <c r="L3" i="4"/>
  <c r="K3" i="4"/>
  <c r="J3" i="4"/>
  <c r="G45" i="5" l="1"/>
  <c r="G193" i="5"/>
  <c r="G192" i="5"/>
  <c r="K41" i="7"/>
  <c r="I41" i="7"/>
  <c r="L29" i="7"/>
  <c r="L41" i="7" s="1"/>
  <c r="J41" i="7"/>
  <c r="H104" i="4"/>
  <c r="H96" i="4"/>
  <c r="G40" i="5" s="1"/>
  <c r="H121" i="4"/>
  <c r="L49" i="7" l="1"/>
  <c r="L19" i="5" s="1"/>
  <c r="I49" i="7"/>
  <c r="K49" i="7"/>
  <c r="J49" i="7"/>
  <c r="G57" i="5"/>
  <c r="G39" i="5"/>
  <c r="G44" i="5"/>
  <c r="G52" i="5"/>
  <c r="L136" i="5" s="1"/>
  <c r="L144" i="5" s="1"/>
  <c r="H115" i="4"/>
  <c r="M29" i="7"/>
  <c r="N29" i="7" s="1"/>
  <c r="L15" i="5" l="1"/>
  <c r="L31" i="5" s="1"/>
  <c r="L180" i="5"/>
  <c r="L183" i="5" s="1"/>
  <c r="L18" i="5"/>
  <c r="L14" i="5"/>
  <c r="M41" i="7"/>
  <c r="M49" i="7" s="1"/>
  <c r="K51" i="7"/>
  <c r="L51" i="7"/>
  <c r="J51" i="7"/>
  <c r="P136" i="5"/>
  <c r="P144" i="5" s="1"/>
  <c r="O136" i="5"/>
  <c r="O144" i="5" s="1"/>
  <c r="N136" i="5"/>
  <c r="N144" i="5" s="1"/>
  <c r="M136" i="5"/>
  <c r="M144" i="5" s="1"/>
  <c r="P137" i="5"/>
  <c r="P145" i="5" s="1"/>
  <c r="O137" i="5"/>
  <c r="O145" i="5" s="1"/>
  <c r="N137" i="5"/>
  <c r="N145" i="5" s="1"/>
  <c r="L137" i="5"/>
  <c r="L145" i="5" s="1"/>
  <c r="M137" i="5"/>
  <c r="M145" i="5" s="1"/>
  <c r="G56" i="5"/>
  <c r="G63" i="5"/>
  <c r="G51" i="5"/>
  <c r="H120" i="4"/>
  <c r="N41" i="7"/>
  <c r="N49" i="7" s="1"/>
  <c r="M180" i="5" l="1"/>
  <c r="M183" i="5" s="1"/>
  <c r="M19" i="5"/>
  <c r="N180" i="5"/>
  <c r="N183" i="5" s="1"/>
  <c r="N19" i="5"/>
  <c r="L30" i="5"/>
  <c r="L32" i="5" s="1"/>
  <c r="M15" i="5"/>
  <c r="M31" i="5" s="1"/>
  <c r="M18" i="5"/>
  <c r="N51" i="7"/>
  <c r="M14" i="5"/>
  <c r="M51" i="7"/>
  <c r="N14" i="5"/>
  <c r="N15" i="5"/>
  <c r="N135" i="4"/>
  <c r="N18" i="5"/>
  <c r="H119" i="4"/>
  <c r="N31" i="5" l="1"/>
  <c r="N30" i="5"/>
  <c r="M30" i="5"/>
  <c r="G46" i="5"/>
  <c r="G41" i="5"/>
  <c r="G64" i="5"/>
  <c r="M32" i="5" l="1"/>
  <c r="G65" i="5"/>
  <c r="N32" i="5"/>
  <c r="L148" i="5"/>
  <c r="L162" i="5" s="1"/>
  <c r="P148" i="5"/>
  <c r="O148" i="5"/>
  <c r="N148" i="5"/>
  <c r="M148" i="5"/>
  <c r="G53" i="5"/>
  <c r="G58" i="5"/>
  <c r="H131" i="4"/>
  <c r="H132" i="4"/>
  <c r="G70" i="5"/>
  <c r="G69" i="5"/>
  <c r="G68" i="5"/>
  <c r="P152" i="5" l="1"/>
  <c r="N152" i="5"/>
  <c r="N162" i="5"/>
  <c r="O152" i="5"/>
  <c r="M152" i="5"/>
  <c r="M162" i="5"/>
  <c r="L156" i="5"/>
  <c r="L166" i="5" s="1"/>
  <c r="L170" i="5" s="1"/>
  <c r="G84" i="5"/>
  <c r="G85" i="5" s="1"/>
  <c r="G87" i="5" s="1"/>
  <c r="G88" i="5" s="1"/>
  <c r="G94" i="5" s="1"/>
  <c r="L152" i="5"/>
  <c r="N156" i="5"/>
  <c r="M156" i="5"/>
  <c r="O156" i="5"/>
  <c r="P156" i="5"/>
  <c r="M98" i="5"/>
  <c r="L98" i="5"/>
  <c r="N98" i="5"/>
  <c r="O98" i="5"/>
  <c r="P98" i="5"/>
  <c r="N97" i="5"/>
  <c r="O97" i="5"/>
  <c r="P97" i="5"/>
  <c r="M97" i="5"/>
  <c r="L97" i="5"/>
  <c r="P149" i="5"/>
  <c r="L149" i="5"/>
  <c r="L163" i="5" s="1"/>
  <c r="O149" i="5"/>
  <c r="N149" i="5"/>
  <c r="M149" i="5"/>
  <c r="N140" i="4"/>
  <c r="N153" i="5" l="1"/>
  <c r="N163" i="5"/>
  <c r="P153" i="5"/>
  <c r="O153" i="5"/>
  <c r="M153" i="5"/>
  <c r="M163" i="5"/>
  <c r="L153" i="5"/>
  <c r="M166" i="5"/>
  <c r="N123" i="5"/>
  <c r="N126" i="5" s="1"/>
  <c r="O157" i="5"/>
  <c r="L157" i="5"/>
  <c r="M157" i="5"/>
  <c r="P157" i="5"/>
  <c r="N157" i="5"/>
  <c r="N166" i="5"/>
  <c r="G102" i="5"/>
  <c r="N167" i="5" l="1"/>
  <c r="M167" i="5"/>
  <c r="M171" i="5" s="1"/>
  <c r="L167" i="5"/>
  <c r="L171" i="5" s="1"/>
  <c r="N106" i="5"/>
  <c r="N110" i="5" s="1"/>
  <c r="P106" i="5"/>
  <c r="P110" i="5" s="1"/>
  <c r="M106" i="5"/>
  <c r="M110" i="5" s="1"/>
  <c r="L106" i="5"/>
  <c r="L110" i="5" s="1"/>
  <c r="O106" i="5"/>
  <c r="O110" i="5" s="1"/>
  <c r="N171" i="5"/>
  <c r="P114" i="5" l="1"/>
  <c r="I3" i="4" l="1"/>
  <c r="I3" i="7"/>
  <c r="I3" i="5"/>
  <c r="M170" i="5" l="1"/>
  <c r="N170" i="5"/>
  <c r="J45" i="7" l="1"/>
  <c r="I45" i="7"/>
  <c r="K45" i="7"/>
  <c r="N45" i="7"/>
  <c r="M45" i="7"/>
  <c r="L45" i="7"/>
  <c r="O45" i="7" l="1"/>
  <c r="O60" i="4" l="1"/>
  <c r="O52" i="4" l="1"/>
  <c r="R11" i="7" l="1"/>
  <c r="R29" i="7" s="1"/>
  <c r="S11" i="7"/>
  <c r="S29" i="7" s="1"/>
  <c r="T11" i="7"/>
  <c r="T29" i="7" s="1"/>
  <c r="U11" i="7"/>
  <c r="U29" i="7" s="1"/>
  <c r="R12" i="7"/>
  <c r="R30" i="7" s="1"/>
  <c r="S12" i="7"/>
  <c r="S30" i="7" s="1"/>
  <c r="T12" i="7"/>
  <c r="T30" i="7" s="1"/>
  <c r="U12" i="7"/>
  <c r="U30" i="7" s="1"/>
  <c r="R13" i="7"/>
  <c r="S13" i="7"/>
  <c r="S31" i="7" s="1"/>
  <c r="T13" i="7"/>
  <c r="T31" i="7" s="1"/>
  <c r="U13" i="7"/>
  <c r="U31" i="7" s="1"/>
  <c r="R14" i="7"/>
  <c r="S14" i="7"/>
  <c r="T14" i="7"/>
  <c r="U14" i="7"/>
  <c r="R15" i="7"/>
  <c r="S15" i="7"/>
  <c r="T15" i="7"/>
  <c r="U15" i="7"/>
  <c r="R16" i="7"/>
  <c r="S16" i="7"/>
  <c r="T16" i="7"/>
  <c r="U16" i="7"/>
  <c r="R17" i="7"/>
  <c r="S17" i="7"/>
  <c r="T17" i="7"/>
  <c r="U17" i="7"/>
  <c r="R18" i="7"/>
  <c r="R36" i="7" s="1"/>
  <c r="S45" i="7" s="1"/>
  <c r="S18" i="7"/>
  <c r="S36" i="7" s="1"/>
  <c r="T45" i="7" s="1"/>
  <c r="T18" i="7"/>
  <c r="T36" i="7" s="1"/>
  <c r="U45" i="7" s="1"/>
  <c r="U18" i="7"/>
  <c r="U36" i="7" s="1"/>
  <c r="R19" i="7"/>
  <c r="S19" i="7"/>
  <c r="T19" i="7"/>
  <c r="U19" i="7"/>
  <c r="R20" i="7"/>
  <c r="S20" i="7"/>
  <c r="T20" i="7"/>
  <c r="U20" i="7"/>
  <c r="R21" i="7"/>
  <c r="S21" i="7"/>
  <c r="T21" i="7"/>
  <c r="U21" i="7"/>
  <c r="R22" i="7"/>
  <c r="S22" i="7"/>
  <c r="T22" i="7"/>
  <c r="U22" i="7"/>
  <c r="Q12" i="7"/>
  <c r="Q13" i="7"/>
  <c r="Q14" i="7"/>
  <c r="Q15" i="7"/>
  <c r="Q16" i="7"/>
  <c r="Q17" i="7"/>
  <c r="Q18" i="7"/>
  <c r="Q36" i="7" s="1"/>
  <c r="R45" i="7" s="1"/>
  <c r="Q19" i="7"/>
  <c r="Q20" i="7"/>
  <c r="Q21" i="7"/>
  <c r="Q22" i="7"/>
  <c r="Q11" i="7"/>
  <c r="Q29" i="7" s="1"/>
  <c r="T32" i="7" l="1"/>
  <c r="U32" i="7" l="1"/>
  <c r="O15" i="7" l="1"/>
  <c r="O33" i="7" s="1"/>
  <c r="O22" i="7"/>
  <c r="O40" i="7" s="1"/>
  <c r="O18" i="7"/>
  <c r="O36" i="7" s="1"/>
  <c r="P45" i="7" s="1"/>
  <c r="O14" i="7"/>
  <c r="O32" i="7" s="1"/>
  <c r="O19" i="7"/>
  <c r="O37" i="7" s="1"/>
  <c r="O21" i="7"/>
  <c r="O39" i="7" s="1"/>
  <c r="O17" i="7"/>
  <c r="O35" i="7" s="1"/>
  <c r="O13" i="7"/>
  <c r="O31" i="7" s="1"/>
  <c r="O11" i="7"/>
  <c r="O29" i="7" s="1"/>
  <c r="O20" i="7"/>
  <c r="O38" i="7" s="1"/>
  <c r="O16" i="7"/>
  <c r="O34" i="7" s="1"/>
  <c r="O12" i="7"/>
  <c r="O30" i="7" s="1"/>
  <c r="O41" i="7" l="1"/>
  <c r="O49" i="7" s="1"/>
  <c r="O19" i="5" l="1"/>
  <c r="O15" i="5"/>
  <c r="O31" i="5" s="1"/>
  <c r="O135" i="4"/>
  <c r="O140" i="4" s="1"/>
  <c r="O123" i="5" s="1"/>
  <c r="O126" i="5" s="1"/>
  <c r="O18" i="5"/>
  <c r="O180" i="5"/>
  <c r="O183" i="5" s="1"/>
  <c r="O14" i="5"/>
  <c r="O51" i="7"/>
  <c r="O162" i="5"/>
  <c r="O166" i="5" s="1"/>
  <c r="O170" i="5" s="1"/>
  <c r="O163" i="5"/>
  <c r="O167" i="5" s="1"/>
  <c r="O171" i="5" s="1"/>
  <c r="O30" i="5" l="1"/>
  <c r="O32" i="5" s="1"/>
  <c r="U33" i="7" l="1"/>
  <c r="P17" i="7" l="1"/>
  <c r="P35" i="7" s="1"/>
  <c r="Q35" i="7" s="1"/>
  <c r="R35" i="7" s="1"/>
  <c r="S35" i="7" s="1"/>
  <c r="T35" i="7" s="1"/>
  <c r="U35" i="7" s="1"/>
  <c r="P12" i="7"/>
  <c r="P30" i="7" s="1"/>
  <c r="Q30" i="7" s="1"/>
  <c r="P14" i="7"/>
  <c r="P32" i="7" s="1"/>
  <c r="Q32" i="7" s="1"/>
  <c r="R32" i="7" s="1"/>
  <c r="S32" i="7" s="1"/>
  <c r="P22" i="7"/>
  <c r="P40" i="7" s="1"/>
  <c r="Q40" i="7" s="1"/>
  <c r="R40" i="7" s="1"/>
  <c r="S40" i="7" s="1"/>
  <c r="T40" i="7" s="1"/>
  <c r="U40" i="7" s="1"/>
  <c r="P18" i="7"/>
  <c r="P36" i="7" s="1"/>
  <c r="Q45" i="7" s="1"/>
  <c r="P13" i="7"/>
  <c r="P31" i="7" s="1"/>
  <c r="Q31" i="7" s="1"/>
  <c r="R31" i="7" s="1"/>
  <c r="P11" i="7"/>
  <c r="P29" i="7" s="1"/>
  <c r="P20" i="7"/>
  <c r="P38" i="7" s="1"/>
  <c r="Q38" i="7" s="1"/>
  <c r="R38" i="7" s="1"/>
  <c r="S38" i="7" s="1"/>
  <c r="T38" i="7" s="1"/>
  <c r="U38" i="7" s="1"/>
  <c r="P19" i="7"/>
  <c r="P37" i="7" s="1"/>
  <c r="Q37" i="7" s="1"/>
  <c r="R37" i="7" s="1"/>
  <c r="S37" i="7" s="1"/>
  <c r="T37" i="7" s="1"/>
  <c r="U37" i="7" s="1"/>
  <c r="P21" i="7"/>
  <c r="P39" i="7" s="1"/>
  <c r="Q39" i="7" s="1"/>
  <c r="R39" i="7" s="1"/>
  <c r="S39" i="7" s="1"/>
  <c r="T39" i="7" s="1"/>
  <c r="U39" i="7" s="1"/>
  <c r="P16" i="7"/>
  <c r="P34" i="7" s="1"/>
  <c r="Q34" i="7" s="1"/>
  <c r="R34" i="7" s="1"/>
  <c r="S34" i="7" s="1"/>
  <c r="T34" i="7" s="1"/>
  <c r="U34" i="7" s="1"/>
  <c r="P15" i="7"/>
  <c r="P33" i="7" s="1"/>
  <c r="Q33" i="7" s="1"/>
  <c r="R33" i="7" s="1"/>
  <c r="S33" i="7" s="1"/>
  <c r="T33" i="7" s="1"/>
  <c r="T41" i="7" s="1"/>
  <c r="T49" i="7" s="1"/>
  <c r="U41" i="7" l="1"/>
  <c r="U49" i="7" s="1"/>
  <c r="P41" i="7"/>
  <c r="P49" i="7" s="1"/>
  <c r="S41" i="7"/>
  <c r="S49" i="7" s="1"/>
  <c r="T51" i="7" s="1"/>
  <c r="R41" i="7"/>
  <c r="R49" i="7" s="1"/>
  <c r="S51" i="7" s="1"/>
  <c r="Q41" i="7"/>
  <c r="Q49" i="7" s="1"/>
  <c r="U51" i="7"/>
  <c r="P19" i="5" l="1"/>
  <c r="Q51" i="7"/>
  <c r="P162" i="5"/>
  <c r="P166" i="5" s="1"/>
  <c r="P170" i="5" s="1"/>
  <c r="P174" i="5" s="1"/>
  <c r="P202" i="5" s="1"/>
  <c r="P18" i="8" s="1"/>
  <c r="P180" i="5"/>
  <c r="P183" i="5" s="1"/>
  <c r="P186" i="5" s="1"/>
  <c r="P51" i="7"/>
  <c r="P15" i="5"/>
  <c r="P31" i="5" s="1"/>
  <c r="P163" i="5"/>
  <c r="P167" i="5" s="1"/>
  <c r="P171" i="5" s="1"/>
  <c r="P175" i="5" s="1"/>
  <c r="P18" i="5"/>
  <c r="P135" i="4"/>
  <c r="P140" i="4" s="1"/>
  <c r="P123" i="5" s="1"/>
  <c r="P126" i="5" s="1"/>
  <c r="P130" i="5" s="1"/>
  <c r="P14" i="5"/>
  <c r="R51" i="7"/>
  <c r="P203" i="5" l="1"/>
  <c r="P19" i="8" s="1"/>
  <c r="P41" i="8" s="1"/>
  <c r="P198" i="5"/>
  <c r="P12" i="8" s="1"/>
  <c r="P21" i="8"/>
  <c r="P30" i="5"/>
  <c r="P32" i="5" l="1"/>
  <c r="G77" i="5"/>
  <c r="G78" i="5" s="1"/>
  <c r="G80" i="5" s="1"/>
  <c r="G81" i="5" s="1"/>
  <c r="G93" i="5" s="1"/>
  <c r="G101" i="5" s="1"/>
  <c r="O105" i="5" l="1"/>
  <c r="O109" i="5" s="1"/>
  <c r="L105" i="5"/>
  <c r="L109" i="5" s="1"/>
  <c r="M105" i="5"/>
  <c r="M109" i="5" s="1"/>
  <c r="P105" i="5"/>
  <c r="P109" i="5" s="1"/>
  <c r="N105" i="5"/>
  <c r="N109" i="5" s="1"/>
  <c r="P113" i="5" l="1"/>
  <c r="P197" i="5" s="1"/>
  <c r="P11" i="8" s="1"/>
  <c r="P14" i="8" s="1"/>
</calcChain>
</file>

<file path=xl/comments1.xml><?xml version="1.0" encoding="utf-8"?>
<comments xmlns="http://schemas.openxmlformats.org/spreadsheetml/2006/main">
  <authors>
    <author>Robert Thorp</author>
  </authors>
  <commentList>
    <comment ref="E76" authorId="0" shapeId="0">
      <text>
        <r>
          <rPr>
            <b/>
            <sz val="9"/>
            <color indexed="81"/>
            <rFont val="Tahoma"/>
            <family val="2"/>
          </rPr>
          <t>Robert Thorp:</t>
        </r>
        <r>
          <rPr>
            <sz val="9"/>
            <color indexed="81"/>
            <rFont val="Tahoma"/>
            <family val="2"/>
          </rPr>
          <t xml:space="preserve">
Legacy depreciation removed
</t>
        </r>
      </text>
    </comment>
    <comment ref="E79" authorId="0" shapeId="0">
      <text>
        <r>
          <rPr>
            <b/>
            <sz val="9"/>
            <color indexed="81"/>
            <rFont val="Tahoma"/>
            <family val="2"/>
          </rPr>
          <t>Robert Thorp:</t>
        </r>
        <r>
          <rPr>
            <sz val="9"/>
            <color indexed="81"/>
            <rFont val="Tahoma"/>
            <family val="2"/>
          </rPr>
          <t xml:space="preserve">
Legacy depreciation removed
</t>
        </r>
      </text>
    </comment>
  </commentList>
</comments>
</file>

<file path=xl/comments2.xml><?xml version="1.0" encoding="utf-8"?>
<comments xmlns="http://schemas.openxmlformats.org/spreadsheetml/2006/main">
  <authors>
    <author>Robert Thorp</author>
  </authors>
  <commentList>
    <comment ref="L19" authorId="0" shapeId="0">
      <text>
        <r>
          <rPr>
            <b/>
            <sz val="9"/>
            <color indexed="81"/>
            <rFont val="Tahoma"/>
            <family val="2"/>
          </rPr>
          <t>Robert Thorp:</t>
        </r>
        <r>
          <rPr>
            <sz val="9"/>
            <color indexed="81"/>
            <rFont val="Tahoma"/>
            <family val="2"/>
          </rPr>
          <t xml:space="preserve">
Amended to include TTT exclusions</t>
        </r>
      </text>
    </comment>
    <comment ref="L30" authorId="0" shapeId="0">
      <text>
        <r>
          <rPr>
            <b/>
            <sz val="9"/>
            <color indexed="81"/>
            <rFont val="Tahoma"/>
            <family val="2"/>
          </rPr>
          <t>Robert Thorp:</t>
        </r>
        <r>
          <rPr>
            <sz val="9"/>
            <color indexed="81"/>
            <rFont val="Tahoma"/>
            <family val="2"/>
          </rPr>
          <t xml:space="preserve">
Amended to remove legacy depreciation from formula
</t>
        </r>
      </text>
    </comment>
    <comment ref="L31" authorId="0" shapeId="0">
      <text>
        <r>
          <rPr>
            <b/>
            <sz val="9"/>
            <color indexed="81"/>
            <rFont val="Tahoma"/>
            <family val="2"/>
          </rPr>
          <t>Robert Thorp:</t>
        </r>
        <r>
          <rPr>
            <sz val="9"/>
            <color indexed="81"/>
            <rFont val="Tahoma"/>
            <family val="2"/>
          </rPr>
          <t xml:space="preserve">
Amended to remove legacy depreciation from formula
</t>
        </r>
      </text>
    </comment>
  </commentList>
</comments>
</file>

<file path=xl/sharedStrings.xml><?xml version="1.0" encoding="utf-8"?>
<sst xmlns="http://schemas.openxmlformats.org/spreadsheetml/2006/main" count="709" uniqueCount="375">
  <si>
    <t>Input Data</t>
  </si>
  <si>
    <t>Year</t>
  </si>
  <si>
    <t>Calendar year</t>
  </si>
  <si>
    <t>Year number</t>
  </si>
  <si>
    <t>Text</t>
  </si>
  <si>
    <t>Company name</t>
  </si>
  <si>
    <t>CompanyName</t>
  </si>
  <si>
    <t>Company type</t>
  </si>
  <si>
    <t>CompanyType</t>
  </si>
  <si>
    <t>WoC.Flag</t>
  </si>
  <si>
    <t>Is company enhanced?</t>
  </si>
  <si>
    <t>CompanyEnhanced</t>
  </si>
  <si>
    <t>Enhanced.Flag</t>
  </si>
  <si>
    <t>£m 3dp</t>
  </si>
  <si>
    <t>12/13 price base</t>
  </si>
  <si>
    <t>Outturn price base</t>
  </si>
  <si>
    <t>Outturn</t>
  </si>
  <si>
    <t>TransitionExp.Water</t>
  </si>
  <si>
    <t>TransitionExp.Sewerage</t>
  </si>
  <si>
    <t>4 PARAMETERS</t>
  </si>
  <si>
    <t>4.1 Menu inputs</t>
  </si>
  <si>
    <t>% 0dp</t>
  </si>
  <si>
    <t>Enhanced company</t>
  </si>
  <si>
    <t>Enhanced.Baseline</t>
  </si>
  <si>
    <t>Non-enhanced company</t>
  </si>
  <si>
    <t>NonEnhanced.Baseline</t>
  </si>
  <si>
    <t>Menu range</t>
  </si>
  <si>
    <t>Nr 0dp</t>
  </si>
  <si>
    <t>Upper bound menu choice for enhanced company</t>
  </si>
  <si>
    <t>UB.Enhanced</t>
  </si>
  <si>
    <t>Upper bound menu choice for non-enhanced company</t>
  </si>
  <si>
    <t>UB.NonEnhanced</t>
  </si>
  <si>
    <t>Lower bound menu choice for enhanced company</t>
  </si>
  <si>
    <t>LB.Enhanced</t>
  </si>
  <si>
    <t>Lower bound menu choice for non-enhanced company</t>
  </si>
  <si>
    <t>LB.NonEnhanced</t>
  </si>
  <si>
    <t>Chosen upper bound menu choice</t>
  </si>
  <si>
    <t>UB.Chosen</t>
  </si>
  <si>
    <t>Chosen lower bound menu choice</t>
  </si>
  <si>
    <t>LB.Chosen</t>
  </si>
  <si>
    <t>Breakeven point</t>
  </si>
  <si>
    <t>Choice</t>
  </si>
  <si>
    <t>Choice.BP</t>
  </si>
  <si>
    <t>Outturn.BP</t>
  </si>
  <si>
    <t>Efficiency incentive</t>
  </si>
  <si>
    <t>Company's value at menu baseline of 100</t>
  </si>
  <si>
    <t>Company.Baseline</t>
  </si>
  <si>
    <t>% 1dp</t>
  </si>
  <si>
    <t>Slope</t>
  </si>
  <si>
    <t>Company.Slope</t>
  </si>
  <si>
    <t>Interpolation</t>
  </si>
  <si>
    <t>Nr 2dp</t>
  </si>
  <si>
    <t>Ofwat baseline</t>
  </si>
  <si>
    <t>OfwatBaseline.Int</t>
  </si>
  <si>
    <t>Company forecast</t>
  </si>
  <si>
    <t>CompanyForecase.Int</t>
  </si>
  <si>
    <t>4.2 Menu matrix</t>
  </si>
  <si>
    <t>Menu coefficients</t>
  </si>
  <si>
    <t>Nr</t>
  </si>
  <si>
    <t>Eff.Inc.Constant</t>
  </si>
  <si>
    <t>Efficiency incentive (slope)</t>
  </si>
  <si>
    <t>Eff.Inc.Slope</t>
  </si>
  <si>
    <t>Allowed.Exp.Constant</t>
  </si>
  <si>
    <t>Allowed expenditure:baseline (slope)</t>
  </si>
  <si>
    <t>Allowed.Exp.Slope</t>
  </si>
  <si>
    <t>Additional income:baseline (constant)</t>
  </si>
  <si>
    <t>Add.Income.Constant</t>
  </si>
  <si>
    <t>Additional income:baseline (first order parameter)</t>
  </si>
  <si>
    <t>Add.Income.1stOrder</t>
  </si>
  <si>
    <t>Additional income:baseline (second order parameter)</t>
  </si>
  <si>
    <t>Add.Income.2ndOrder</t>
  </si>
  <si>
    <t>5 PAYG</t>
  </si>
  <si>
    <t>% 3dp</t>
  </si>
  <si>
    <t>Water: PAYG ratio</t>
  </si>
  <si>
    <t>PAYG.Water</t>
  </si>
  <si>
    <t>Sewerage: PAYG ratio</t>
  </si>
  <si>
    <t>PAYG.Sewerage</t>
  </si>
  <si>
    <t>END</t>
  </si>
  <si>
    <t>Calculations</t>
  </si>
  <si>
    <t>1 TOTEX SUMMARY</t>
  </si>
  <si>
    <t>Water: Actual totex</t>
  </si>
  <si>
    <t>Actual.Totex.Water</t>
  </si>
  <si>
    <t>Sewerage: Actual totex</t>
  </si>
  <si>
    <t>Actual.Totex.Sewerage</t>
  </si>
  <si>
    <t>2 TOTEX MENU</t>
  </si>
  <si>
    <t>Nr 3dp</t>
  </si>
  <si>
    <t>Menu.Choice.Water</t>
  </si>
  <si>
    <t>Menu.Choice.Sewerage</t>
  </si>
  <si>
    <t>Upper bounds</t>
  </si>
  <si>
    <t>Efficiency incentive: upper bound</t>
  </si>
  <si>
    <t>UB.EffInc</t>
  </si>
  <si>
    <t>Allowed expenditure: upper bound</t>
  </si>
  <si>
    <t>UB.AllExp</t>
  </si>
  <si>
    <t>Additional income: upper bound</t>
  </si>
  <si>
    <t>UB.AddInc</t>
  </si>
  <si>
    <t>Lower bounds</t>
  </si>
  <si>
    <t>Efficiency incentive: lower bound</t>
  </si>
  <si>
    <t>LB.EffInc</t>
  </si>
  <si>
    <t>Allowed expenditure: lower bound</t>
  </si>
  <si>
    <t>LB.AllExp</t>
  </si>
  <si>
    <t>Additional income: lower bound</t>
  </si>
  <si>
    <t>LB.AddInc</t>
  </si>
  <si>
    <t>Water: Menu coefficients for chosen menu</t>
  </si>
  <si>
    <t>Water: Efficiency incentive</t>
  </si>
  <si>
    <t>EffInc.Coeff.Water</t>
  </si>
  <si>
    <t>Water: Allowed expenditure</t>
  </si>
  <si>
    <t>AllExp.Coeff.Water</t>
  </si>
  <si>
    <t>Water: Additional income</t>
  </si>
  <si>
    <t>AddInc.Coeff.Water</t>
  </si>
  <si>
    <t>Sewerage: Menu coefficients for chosen menu</t>
  </si>
  <si>
    <t>Sewerage: Efficiency incentive</t>
  </si>
  <si>
    <t>EffInc.Coeff.Sewerage</t>
  </si>
  <si>
    <t>Sewerage: Allowed expenditure</t>
  </si>
  <si>
    <t>AllExp.Coeff.Sewerage</t>
  </si>
  <si>
    <t>Sewerage: Additional income</t>
  </si>
  <si>
    <t>AddInc.Coeff.Sewerage</t>
  </si>
  <si>
    <t>3.1 Menu performance</t>
  </si>
  <si>
    <t>Menu performance - Water</t>
  </si>
  <si>
    <t>Water: Reward / (Penalty): menu level</t>
  </si>
  <si>
    <t>Water: Reward / (Penalty) ratio</t>
  </si>
  <si>
    <t>Menu performance - Sewerage</t>
  </si>
  <si>
    <t>Sewerage: Reward / (Penalty): menu level</t>
  </si>
  <si>
    <t>Sewerage: Reward / (Penalty) ratio</t>
  </si>
  <si>
    <t>Water: weighted PAYG ratio</t>
  </si>
  <si>
    <t>WeightedPAYG.Water</t>
  </si>
  <si>
    <t>Sewerage: weighted PAYG ratio</t>
  </si>
  <si>
    <t>WeightedPAYG.Sewerage</t>
  </si>
  <si>
    <t>4.2 Revenue adjustments</t>
  </si>
  <si>
    <t>Water: revenue adjustment</t>
  </si>
  <si>
    <t>Sewerage: revenue adjustment</t>
  </si>
  <si>
    <t>4.3 RCV adjustments</t>
  </si>
  <si>
    <t>Water: RCV adjustment</t>
  </si>
  <si>
    <t>Sewerage: RCV adjustment</t>
  </si>
  <si>
    <t>End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</si>
  <si>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</si>
  <si>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</si>
  <si>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</si>
  <si>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</si>
  <si>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</si>
  <si>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</si>
  <si>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</si>
  <si>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</si>
  <si>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</si>
  <si>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</si>
  <si>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</si>
  <si>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</si>
  <si>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</si>
  <si>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AMP.Years</t>
  </si>
  <si>
    <t>Calendar.Years</t>
  </si>
  <si>
    <t>Retail Price Index</t>
  </si>
  <si>
    <t>2011-12</t>
  </si>
  <si>
    <t>Actual Year</t>
  </si>
  <si>
    <t/>
  </si>
  <si>
    <t>RPI</t>
  </si>
  <si>
    <t>Actual RPI</t>
  </si>
  <si>
    <t>Nr 1dp</t>
  </si>
  <si>
    <t>RPI: April - index</t>
  </si>
  <si>
    <t>RPI: May - index</t>
  </si>
  <si>
    <t>RPI: June - index</t>
  </si>
  <si>
    <t>RPI: July - index</t>
  </si>
  <si>
    <t>RPI: August - index</t>
  </si>
  <si>
    <t>RPI: September- index</t>
  </si>
  <si>
    <t>RPI: October - index</t>
  </si>
  <si>
    <t>RPI: November - index</t>
  </si>
  <si>
    <t>RPI: December - index</t>
  </si>
  <si>
    <t>RPI: January - index</t>
  </si>
  <si>
    <t>RPI: February - index</t>
  </si>
  <si>
    <t>RPI: March - index</t>
  </si>
  <si>
    <t>RPI: Financial year average - index</t>
  </si>
  <si>
    <t>% 4dp</t>
  </si>
  <si>
    <t>RPI: Financial year average assumed percentage increase</t>
  </si>
  <si>
    <t>Completeness check</t>
  </si>
  <si>
    <t>Indexation.Check</t>
  </si>
  <si>
    <t>Forecast RPI</t>
  </si>
  <si>
    <t>RPI: Basket year - cumulative % increase from 2012/13 basket value</t>
  </si>
  <si>
    <t>Override</t>
  </si>
  <si>
    <t>Indexation.November.Override</t>
  </si>
  <si>
    <t>Calculated (including override)</t>
  </si>
  <si>
    <t>Indexation.November</t>
  </si>
  <si>
    <t>RPI: Fin year average - inflate from year average (2012)</t>
  </si>
  <si>
    <t>Indexation.Average.Override</t>
  </si>
  <si>
    <t>Indexation.Average</t>
  </si>
  <si>
    <t>RPI: Fin year average - percentage increase</t>
  </si>
  <si>
    <t>Inflation.Yearly.Average</t>
  </si>
  <si>
    <t>WACC</t>
  </si>
  <si>
    <t>Totex menu adjustments</t>
  </si>
  <si>
    <t>1 Revenue adjustments</t>
  </si>
  <si>
    <t>2 RCV adjustments</t>
  </si>
  <si>
    <t>Total revenue adjustment</t>
  </si>
  <si>
    <t>Total RCV adjustment</t>
  </si>
  <si>
    <t>Timeline</t>
  </si>
  <si>
    <t>Model and general parameters</t>
  </si>
  <si>
    <t>2 TOTEX</t>
  </si>
  <si>
    <t>Financing rate</t>
  </si>
  <si>
    <t>Total Actual Totex (net of exclusions, logging and shortfalls)</t>
  </si>
  <si>
    <t>Water: Actual totex (net of exclusions, logging and IDoK)</t>
  </si>
  <si>
    <t>Sewerage: Actual totex (net of exclusions, logging and IDoK)</t>
  </si>
  <si>
    <t>Total Actual Totex (net of exclusions, logging and IDoK)</t>
  </si>
  <si>
    <t>Baseline totex</t>
  </si>
  <si>
    <t>3 ADJUSTMENTS TO TOTEX</t>
  </si>
  <si>
    <t>Cost sharing rate: value at menu baseline of 100</t>
  </si>
  <si>
    <t>Totex adjustment</t>
  </si>
  <si>
    <t>Water: totex adjustment</t>
  </si>
  <si>
    <t>Sewerage: totex adjustment</t>
  </si>
  <si>
    <t>Total totex adjustment - water</t>
  </si>
  <si>
    <t>Total totex adjustment - sewerage</t>
  </si>
  <si>
    <t>Actual Totex</t>
  </si>
  <si>
    <t>Water: Actual Totex</t>
  </si>
  <si>
    <t>Sewerage: Actual Totex</t>
  </si>
  <si>
    <t>Water: adjustments to actual totex</t>
  </si>
  <si>
    <t>Sewerage: adjustments to actual totex</t>
  </si>
  <si>
    <t>Water: Third party services (opex)</t>
  </si>
  <si>
    <t>Water: Third party services (capex)</t>
  </si>
  <si>
    <t>Water: Other cash items</t>
  </si>
  <si>
    <t>Sewerage: Third party services (opex)</t>
  </si>
  <si>
    <t>Sewerage: Third party services (capex)</t>
  </si>
  <si>
    <t>Sewerage: Other cash items</t>
  </si>
  <si>
    <t>Actual.Exclusions.Sewerage</t>
  </si>
  <si>
    <t xml:space="preserve">Water: Transition expenditure </t>
  </si>
  <si>
    <t xml:space="preserve">Sewerage: Transition expenditure </t>
  </si>
  <si>
    <t>Totex exclusions</t>
  </si>
  <si>
    <t>Totex inclusions</t>
  </si>
  <si>
    <t>Totex.Adj.Water</t>
  </si>
  <si>
    <t>Totex.Adj.Sewerage</t>
  </si>
  <si>
    <t>Menu totex</t>
  </si>
  <si>
    <t>Water: Menu totex</t>
  </si>
  <si>
    <t>Sewerage: Menu totex</t>
  </si>
  <si>
    <t>Total Menu Totex</t>
  </si>
  <si>
    <t>Totex adjustment at PR19</t>
  </si>
  <si>
    <t>IDoK business rates</t>
  </si>
  <si>
    <t>6 Business rates IDoK</t>
  </si>
  <si>
    <t>Menu Cost Sharing Rate</t>
  </si>
  <si>
    <t>Menu Choice Expenditure Factor</t>
  </si>
  <si>
    <t>Water business rate constant 2017, 2018, 2019</t>
  </si>
  <si>
    <t xml:space="preserve">Outturn </t>
  </si>
  <si>
    <t>Applicable Water Business Rate Costs</t>
  </si>
  <si>
    <t>2.3 Actual totex</t>
  </si>
  <si>
    <t>1 Menu choices</t>
  </si>
  <si>
    <t>1.1 Implied menu choice</t>
  </si>
  <si>
    <t>1.2 Submitted company menu choice</t>
  </si>
  <si>
    <t>All.Totex.Water</t>
  </si>
  <si>
    <t>All.Totex.Sewerage</t>
  </si>
  <si>
    <t>Water: Future value of ex post totex adjustment of prior year annual adjustments</t>
  </si>
  <si>
    <t>Totex adjustment including financing costs</t>
  </si>
  <si>
    <t>Sewerage: Future value of ex post totex adjustment of prior year annual adjustments</t>
  </si>
  <si>
    <t>Financing cost index</t>
  </si>
  <si>
    <t>Final menu choice</t>
  </si>
  <si>
    <t>Implied menu choice</t>
  </si>
  <si>
    <t>2.1 Menu cost baseline</t>
  </si>
  <si>
    <t xml:space="preserve">Water: Disallowables </t>
  </si>
  <si>
    <t>Sewerage: Disallowables</t>
  </si>
  <si>
    <t>4.1 Weighted average PAYG ratio</t>
  </si>
  <si>
    <t>4. PR19 ADJUSTMENTS</t>
  </si>
  <si>
    <t>3 TOTEX ADJUSTMENTS</t>
  </si>
  <si>
    <t>Menu.Totex.Water</t>
  </si>
  <si>
    <t>Menu.Totex.Sewerage</t>
  </si>
  <si>
    <t>Menu.Totex</t>
  </si>
  <si>
    <t>Company specific water business rate sharing rate</t>
  </si>
  <si>
    <t>Water: IDoK Business rates adjustment</t>
  </si>
  <si>
    <t>%</t>
  </si>
  <si>
    <t>Totex exclusions (enter exclusions as +ve values)</t>
  </si>
  <si>
    <t>Water: under / (over) performance</t>
  </si>
  <si>
    <t>Sewerage: under / (over) performance</t>
  </si>
  <si>
    <t>Totex under / (over) performance</t>
  </si>
  <si>
    <t>Water: Baseline Totex</t>
  </si>
  <si>
    <t>Sewerage: Baseline Totex</t>
  </si>
  <si>
    <t>IP.logging.Adj.TTT</t>
  </si>
  <si>
    <t>Actual.Exclusions.Water</t>
  </si>
  <si>
    <t>Logging.TTT.scopeswaps</t>
  </si>
  <si>
    <t>Logging.TTT.Land</t>
  </si>
  <si>
    <t>Water: Reward / (penalty)</t>
  </si>
  <si>
    <t>Sewerage: Reward / (penalty)</t>
  </si>
  <si>
    <t>Water: Total reward / (penalty) including additional income</t>
  </si>
  <si>
    <t>Sewerage: Total reward / (penalty) including additional income</t>
  </si>
  <si>
    <t>3.2 Totex menu reward / (penalty)</t>
  </si>
  <si>
    <t>Reward / (penalty) including additional income</t>
  </si>
  <si>
    <t>BR.IDoK.Water</t>
  </si>
  <si>
    <t>Thames expenditure that qualifies for logging up</t>
  </si>
  <si>
    <t>Sewerage: Applicable cost adjustment</t>
  </si>
  <si>
    <t>7 TTT Control - items subject to logging up at 75:25 (customer:company) cost share</t>
  </si>
  <si>
    <t>Customer cost sharing rate</t>
  </si>
  <si>
    <t>TTT control: logging up / (down) of scope swaps</t>
  </si>
  <si>
    <t>TTT control: Land - 100:0 (customer:company) cost sharing factor</t>
  </si>
  <si>
    <t>FD.Menu.Choice.Water</t>
  </si>
  <si>
    <t>FD.Menu.Choice.Sewerage</t>
  </si>
  <si>
    <t>2.1 Menu coefficient upper and lower bounds</t>
  </si>
  <si>
    <t>2.3 Final menu coefficients</t>
  </si>
  <si>
    <t>Water: Additional income (applied at FD)</t>
  </si>
  <si>
    <t>Sewerage: Additional income (applied at FD)</t>
  </si>
  <si>
    <t>Additional income applied at FDs</t>
  </si>
  <si>
    <t>Reward / (penalty) excluding additional income</t>
  </si>
  <si>
    <t>Final menu choice allowed totex</t>
  </si>
  <si>
    <t xml:space="preserve">Allowed totex reconciliation </t>
  </si>
  <si>
    <t>FD.EffInc.Coeff.Water</t>
  </si>
  <si>
    <t>FD.AllExp.Coeff.Water</t>
  </si>
  <si>
    <t>FD.AddInc.Coeff.Water</t>
  </si>
  <si>
    <t>FD.EffInc.Coeff.Sewerage</t>
  </si>
  <si>
    <t>FD.AllExp.Coeff.Sewerage</t>
  </si>
  <si>
    <t>FD.AddInc.Coeff.Sewerage</t>
  </si>
  <si>
    <t>Reprofiled reward / (penalty)</t>
  </si>
  <si>
    <t>Revenue adjustment - water</t>
  </si>
  <si>
    <t>Revenue adjustment - sewerage</t>
  </si>
  <si>
    <t>Reward / (penalty) revenue adjustment at PR19</t>
  </si>
  <si>
    <t>Reprofiled reward / (penalty) including financing costs</t>
  </si>
  <si>
    <t>1.1 Calculating menu totex</t>
  </si>
  <si>
    <t>3.1 Adjustments to actual totex</t>
  </si>
  <si>
    <t>Baseline.Totex.Water</t>
  </si>
  <si>
    <t>Baseline.Totex.Sewerage</t>
  </si>
  <si>
    <t>Totex inclusions -  Legacy depreciation</t>
  </si>
  <si>
    <t>Totex inclusions - Transition expenditure</t>
  </si>
  <si>
    <t>Actual.PDRC.Water</t>
  </si>
  <si>
    <t>Actual.PDRC.Sewerage</t>
  </si>
  <si>
    <t xml:space="preserve"> </t>
  </si>
  <si>
    <t>3.5 Totex adjustment</t>
  </si>
  <si>
    <t>Business rates IDoK</t>
  </si>
  <si>
    <t>Revenue adjustments including financing costs</t>
  </si>
  <si>
    <t>Non-menu revenue adjustment at PR19</t>
  </si>
  <si>
    <t>FD.PDRC.Water</t>
  </si>
  <si>
    <t>FD.PDRC.Sewerage</t>
  </si>
  <si>
    <t>FD pension deficit recovery costs allowance</t>
  </si>
  <si>
    <t>3.3 Non-menu revenue adjustments</t>
  </si>
  <si>
    <t>Water: Total reward / (penalty) excluding additional income</t>
  </si>
  <si>
    <t>Sewerage: Total reward / (penalty) excluding additional income</t>
  </si>
  <si>
    <t>Water: Pension deficit recovery costs</t>
  </si>
  <si>
    <t>Sewerage: Pension deficit recovery costs</t>
  </si>
  <si>
    <t>Water: FD pension deficit recovery costs allowance</t>
  </si>
  <si>
    <t>Sewerage: FD pension deficit recovery costs allowance</t>
  </si>
  <si>
    <t>Allowed expenditure:baseline (constant)</t>
  </si>
  <si>
    <t>Water: Allowed expenditure from the menu at FD</t>
  </si>
  <si>
    <t>Sewerage: Allowed expenditure from the menu at FD</t>
  </si>
  <si>
    <t>Allowed expenditure from the menu at FD</t>
  </si>
  <si>
    <t>Allowed.totex.final.menu.water</t>
  </si>
  <si>
    <t>Allowed.totex.Final.menu.sewerage</t>
  </si>
  <si>
    <t>3.4 Allowed totex reconciliation</t>
  </si>
  <si>
    <t>Water: Allowed Totex from final menu</t>
  </si>
  <si>
    <t>Sewerage: Allowed Totex from final menu</t>
  </si>
  <si>
    <t>Water: Allowed Totex from final menu inclusive of menu cost exclusions, less PDRC</t>
  </si>
  <si>
    <t>Final menu choice allowed totex inclusive of menu cost exclusions, less PDRC</t>
  </si>
  <si>
    <t>Sewerage: Allowed Totex from final menu inclusive of menu cost exclusions, less PDRC</t>
  </si>
  <si>
    <t>Water: Allowed Totex delta (Final less FD)</t>
  </si>
  <si>
    <t>Sewerage: Allowed Totex delta (Final less FD)</t>
  </si>
  <si>
    <t>N.B. Excludes PDRC and excludes any other cost exclusions</t>
  </si>
  <si>
    <t>N.B. Excludes PDRC and includes any other cost exclusions</t>
  </si>
  <si>
    <t>Additional comments column to explain calculation where appropriate</t>
  </si>
  <si>
    <t>N.B. Under / over performance takes into account menu cost exclusions except for variation in actual vs allowed PDRC</t>
  </si>
  <si>
    <t>2.2 FD allowed totex inclusive of menu cost exclusions, less PDRC allowance</t>
  </si>
  <si>
    <t>FD allowed totex inclusive of menu cost exclusions, less PDRC allowance</t>
  </si>
  <si>
    <t>Water: FD allowed totex inclusive of menu cost exclusions, less PDRC allowance</t>
  </si>
  <si>
    <t>Sewerage: FD allowed totex inclusive of menu cost exclusions, less PDRC allowance</t>
  </si>
  <si>
    <t>Water: Costs excluded from the menu at FD, less PDRC allowance</t>
  </si>
  <si>
    <t>Sewerage: Costs excluded from the menu at FD, less PDRC allowance</t>
  </si>
  <si>
    <t>Costs excluded from the menu at FD, less PDRC allowance</t>
  </si>
  <si>
    <t>Water: Implied menu choice</t>
  </si>
  <si>
    <t>Sewerage: Implied menu choice</t>
  </si>
  <si>
    <t>Sewerage: Final menu choice</t>
  </si>
  <si>
    <t>Water: Final menu choice</t>
  </si>
  <si>
    <t>2.2 Implied menu coefficients</t>
  </si>
  <si>
    <t>Water: business rate IDoK</t>
  </si>
  <si>
    <t>Water: Menu Totex to Baseline Totex ratio</t>
  </si>
  <si>
    <t>Water: Menu Totex: menu level</t>
  </si>
  <si>
    <t>Sewerage: Menu Totex to Baseline Totex ratio</t>
  </si>
  <si>
    <t>Sewerage: Menu Totex: menu level</t>
  </si>
  <si>
    <t>Water: Non-menu revenue adjustment</t>
  </si>
  <si>
    <t>No</t>
  </si>
  <si>
    <t>8 TTT Control - FD costs excluded from menu (that is, land costs under 100:0 sharing)</t>
  </si>
  <si>
    <t>TTT FD costs excluded from menu (that is, land costs under 100:0 sharing)</t>
  </si>
  <si>
    <t>3.6 TTT land costs under 100:0 sharing adjustment</t>
  </si>
  <si>
    <t>TTT land costs adjustment</t>
  </si>
  <si>
    <t>Sewerage: TTT land adjustment</t>
  </si>
  <si>
    <t>TTT land costs adjustment including financing costs</t>
  </si>
  <si>
    <t>Sewerage: Future value of ex post TTT land adjustment of prior year annual adjustments</t>
  </si>
  <si>
    <t>TTT land costs adjustment at PR19</t>
  </si>
  <si>
    <t>Total TTT land adjustment - sewerage</t>
  </si>
  <si>
    <t>SSC</t>
  </si>
  <si>
    <t>WoC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</si>
</sst>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(* #,##0.00_);_(* \(#,##0.00\);_(* &quot;-&quot;??_);_(@_)"/>
    <numFmt numFmtId="165" formatCode="_(* #,##0.000_);_(* \(#,##0.000\);_(* &quot;-&quot;_);_(@_)"/>
    <numFmt numFmtId="166" formatCode="#,##0_);\(#,##0\);\-_)"/>
    <numFmt numFmtId="167" formatCode="0.000"/>
    <numFmt numFmtId="168" formatCode="0.0"/>
    <numFmt numFmtId="169" formatCode="_-* #,##0.000_-;\-* #,##0.000_-;_-* &quot;-&quot;??_-;_-@_-"/>
    <numFmt numFmtId="170" formatCode="0%_);\(0%\);\-\%_)"/>
    <numFmt numFmtId="171" formatCode="#,##0.0"/>
    <numFmt numFmtId="172" formatCode="0.0%_);\(0.0%\);\-\%_)"/>
    <numFmt numFmtId="173" formatCode="#,##0.00_);\(#,##0.00\);\-_)"/>
    <numFmt numFmtId="174" formatCode="0.0000"/>
    <numFmt numFmtId="175" formatCode="0.000%_);\(0.000%\);\-\%_)"/>
    <numFmt numFmtId="176" formatCode="#0_);\(#0\);\-_)"/>
    <numFmt numFmtId="177" formatCode="#,##0.0_);\(#,##0.0\);\-_)"/>
    <numFmt numFmtId="178" formatCode="0.00%_);\(0.00%\);\-\%_)"/>
    <numFmt numFmtId="179" formatCode="#,##0.000_);\(#,##0.000\);\-_)"/>
    <numFmt numFmtId="180" formatCode="#,##0%_);\(#,##0%\);\-_)"/>
  </numFmts>
  <fonts count="7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color indexed="9"/>
      <name val="Arial"/>
      <family val="2"/>
    </font>
    <font>
      <b/>
      <sz val="11"/>
      <color rgb="FFA3202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sz val="10"/>
      <color theme="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color rgb="FF00B050"/>
      <name val="Arial"/>
      <family val="2"/>
    </font>
    <font>
      <i/>
      <sz val="10"/>
      <color theme="0" tint="-0.499984740745262"/>
      <name val="Arial"/>
      <family val="2"/>
    </font>
    <font>
      <b/>
      <sz val="8"/>
      <name val="Arial"/>
      <family val="2"/>
    </font>
    <font>
      <b/>
      <sz val="10"/>
      <color theme="4"/>
      <name val="Arial"/>
      <family val="2"/>
    </font>
    <font>
      <b/>
      <sz val="10"/>
      <color indexed="9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b/>
      <sz val="10"/>
      <color indexed="18"/>
      <name val="Arial"/>
      <family val="2"/>
    </font>
    <font>
      <sz val="8"/>
      <color theme="4"/>
      <name val="Arial"/>
      <family val="2"/>
    </font>
    <font>
      <b/>
      <sz val="10"/>
      <color theme="1"/>
      <name val="Arial"/>
      <family val="2"/>
    </font>
    <font>
      <b/>
      <sz val="20"/>
      <color indexed="9"/>
      <name val="Arial"/>
      <family val="2"/>
    </font>
    <font>
      <sz val="10"/>
      <color indexed="62"/>
      <name val="Arial"/>
      <family val="2"/>
    </font>
    <font>
      <b/>
      <i/>
      <sz val="10"/>
      <color indexed="9"/>
      <name val="Arial"/>
      <family val="2"/>
    </font>
    <font>
      <sz val="9"/>
      <color theme="0" tint="-0.499984740745262"/>
      <name val="Arial"/>
      <family val="2"/>
    </font>
    <font>
      <b/>
      <sz val="12"/>
      <color indexed="63"/>
      <name val="Arial"/>
      <family val="2"/>
    </font>
    <font>
      <b/>
      <sz val="11"/>
      <color indexed="28"/>
      <name val="Arial"/>
      <family val="2"/>
    </font>
    <font>
      <b/>
      <sz val="15"/>
      <color rgb="FF602320"/>
      <name val="Arial"/>
      <family val="2"/>
    </font>
    <font>
      <b/>
      <sz val="13"/>
      <color rgb="FFA32020"/>
      <name val="Arial"/>
      <family val="2"/>
    </font>
    <font>
      <i/>
      <sz val="8"/>
      <color indexed="8"/>
      <name val="Arial"/>
      <family val="2"/>
    </font>
    <font>
      <i/>
      <sz val="8"/>
      <name val="Arial"/>
      <family val="2"/>
    </font>
    <font>
      <b/>
      <sz val="8"/>
      <color indexed="24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sz val="11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20"/>
      <name val="Arial"/>
      <family val="2"/>
    </font>
    <font>
      <u/>
      <sz val="8"/>
      <color indexed="12"/>
      <name val="Arial"/>
      <family val="2"/>
    </font>
    <font>
      <sz val="10"/>
      <name val="Calibri"/>
      <family val="2"/>
      <scheme val="minor"/>
    </font>
    <font>
      <sz val="18"/>
      <name val="Arial MT"/>
      <family val="2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b/>
      <sz val="16"/>
      <color indexed="9"/>
      <name val="Arial"/>
      <family val="2"/>
    </font>
    <font>
      <sz val="11"/>
      <color indexed="18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color theme="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2664"/>
        <bgColor indexed="64"/>
      </patternFill>
    </fill>
    <fill>
      <patternFill patternType="solid">
        <fgColor rgb="FF33518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B3C7"/>
        <bgColor indexed="64"/>
      </patternFill>
    </fill>
    <fill>
      <patternFill patternType="solid">
        <fgColor indexed="43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E2FF"/>
        <bgColor indexed="64"/>
      </patternFill>
    </fill>
    <fill>
      <patternFill patternType="solid">
        <fgColor rgb="FFFFFFFE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rgb="FF602320"/>
      </bottom>
      <diagonal/>
    </border>
    <border>
      <left/>
      <right/>
      <top/>
      <bottom style="medium">
        <color rgb="FFA3202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2"/>
      </left>
      <right/>
      <top/>
      <bottom/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2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0">
    <xf numFmtId="0" fontId="0" fillId="0" borderId="0"/>
    <xf numFmtId="0" fontId="2" fillId="0" borderId="0"/>
    <xf numFmtId="0" fontId="4" fillId="0" borderId="0" applyNumberFormat="0" applyFill="0" applyAlignment="0"/>
    <xf numFmtId="37" fontId="2" fillId="0" borderId="0" applyFill="0" applyBorder="0" applyProtection="0">
      <protection locked="0"/>
    </xf>
    <xf numFmtId="0" fontId="7" fillId="0" borderId="0"/>
    <xf numFmtId="0" fontId="2" fillId="0" borderId="0" applyNumberFormat="0" applyFont="0" applyFill="0" applyBorder="0" applyAlignment="0" applyProtection="0"/>
    <xf numFmtId="9" fontId="2" fillId="0" borderId="0" applyFont="0" applyFill="0" applyBorder="0" applyAlignment="0" applyProtection="0"/>
    <xf numFmtId="0" fontId="14" fillId="7" borderId="5" applyNumberFormat="0" applyFont="0" applyAlignment="0" applyProtection="0"/>
    <xf numFmtId="171" fontId="2" fillId="0" borderId="0">
      <alignment vertical="top"/>
    </xf>
    <xf numFmtId="9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166" fontId="32" fillId="0" borderId="3">
      <alignment horizontal="center"/>
    </xf>
    <xf numFmtId="0" fontId="33" fillId="0" borderId="9" applyNumberFormat="0" applyAlignment="0" applyProtection="0"/>
    <xf numFmtId="0" fontId="34" fillId="0" borderId="0" applyNumberFormat="0" applyAlignment="0" applyProtection="0"/>
    <xf numFmtId="0" fontId="35" fillId="0" borderId="10" applyNumberFormat="0" applyFill="0" applyAlignment="0">
      <alignment vertical="top"/>
    </xf>
    <xf numFmtId="0" fontId="36" fillId="0" borderId="11" applyNumberFormat="0" applyFill="0" applyAlignment="0"/>
    <xf numFmtId="0" fontId="14" fillId="14" borderId="5" applyNumberFormat="0" applyFont="0" applyAlignment="0" applyProtection="0"/>
    <xf numFmtId="0" fontId="14" fillId="15" borderId="12" applyNumberFormat="0" applyFont="0" applyAlignment="0" applyProtection="0"/>
    <xf numFmtId="0" fontId="37" fillId="0" borderId="0" applyNumberFormat="0" applyFill="0" applyBorder="0" applyAlignment="0" applyProtection="0"/>
    <xf numFmtId="0" fontId="7" fillId="16" borderId="5" applyNumberFormat="0" applyFont="0" applyAlignment="0" applyProtection="0"/>
    <xf numFmtId="0" fontId="7" fillId="17" borderId="12" applyNumberFormat="0" applyFont="0" applyAlignment="0" applyProtection="0"/>
    <xf numFmtId="0" fontId="2" fillId="0" borderId="0" applyFont="0" applyFill="0" applyBorder="0" applyAlignment="0" applyProtection="0"/>
    <xf numFmtId="0" fontId="38" fillId="0" borderId="0" applyNumberFormat="0" applyFill="0" applyBorder="0" applyAlignment="0" applyProtection="0"/>
    <xf numFmtId="37" fontId="6" fillId="18" borderId="13">
      <alignment horizontal="left"/>
    </xf>
    <xf numFmtId="37" fontId="26" fillId="18" borderId="14"/>
    <xf numFmtId="0" fontId="2" fillId="18" borderId="15" applyNumberFormat="0" applyBorder="0"/>
    <xf numFmtId="49" fontId="39" fillId="0" borderId="0" applyFont="0" applyFill="0" applyBorder="0" applyAlignment="0" applyProtection="0">
      <alignment horizontal="left"/>
    </xf>
    <xf numFmtId="0" fontId="14" fillId="0" borderId="0" applyAlignment="0" applyProtection="0"/>
    <xf numFmtId="0" fontId="10" fillId="0" borderId="0" applyFill="0" applyBorder="0" applyAlignment="0" applyProtection="0"/>
    <xf numFmtId="49" fontId="10" fillId="0" borderId="0" applyNumberFormat="0" applyAlignment="0" applyProtection="0">
      <alignment horizontal="left"/>
    </xf>
    <xf numFmtId="49" fontId="40" fillId="0" borderId="16" applyNumberFormat="0" applyAlignment="0" applyProtection="0">
      <alignment horizontal="left" wrapText="1"/>
    </xf>
    <xf numFmtId="49" fontId="40" fillId="0" borderId="0" applyNumberFormat="0" applyAlignment="0" applyProtection="0">
      <alignment horizontal="left" wrapText="1"/>
    </xf>
    <xf numFmtId="49" fontId="41" fillId="0" borderId="0" applyAlignment="0" applyProtection="0">
      <alignment horizontal="left"/>
    </xf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3" fillId="19" borderId="0" applyNumberFormat="0" applyAlignment="0" applyProtection="0"/>
    <xf numFmtId="0" fontId="44" fillId="0" borderId="3" applyNumberFormat="0" applyAlignment="0" applyProtection="0"/>
    <xf numFmtId="0" fontId="6" fillId="20" borderId="0"/>
    <xf numFmtId="0" fontId="2" fillId="11" borderId="3"/>
    <xf numFmtId="0" fontId="2" fillId="11" borderId="3"/>
    <xf numFmtId="0" fontId="6" fillId="11" borderId="0"/>
    <xf numFmtId="0" fontId="2" fillId="21" borderId="0"/>
    <xf numFmtId="0" fontId="2" fillId="21" borderId="0"/>
    <xf numFmtId="0" fontId="2" fillId="21" borderId="0"/>
    <xf numFmtId="0" fontId="45" fillId="18" borderId="17"/>
    <xf numFmtId="37" fontId="2" fillId="18" borderId="0">
      <alignment horizontal="right"/>
    </xf>
    <xf numFmtId="0" fontId="46" fillId="0" borderId="0" applyNumberFormat="0" applyFill="0" applyBorder="0" applyAlignment="0" applyProtection="0">
      <alignment vertical="top"/>
      <protection locked="0"/>
    </xf>
    <xf numFmtId="0" fontId="47" fillId="22" borderId="0" applyNumberFormat="0" applyFont="0" applyAlignment="0" applyProtection="0"/>
    <xf numFmtId="0" fontId="48" fillId="0" borderId="0"/>
    <xf numFmtId="0" fontId="49" fillId="23" borderId="0" applyNumberFormat="0" applyAlignment="0" applyProtection="0"/>
    <xf numFmtId="0" fontId="2" fillId="0" borderId="0"/>
    <xf numFmtId="0" fontId="2" fillId="0" borderId="0"/>
    <xf numFmtId="0" fontId="4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" fillId="0" borderId="0"/>
    <xf numFmtId="0" fontId="1" fillId="0" borderId="0"/>
    <xf numFmtId="0" fontId="8" fillId="2" borderId="1" applyNumberFormat="0" applyFont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50" fillId="0" borderId="0">
      <alignment vertical="top"/>
    </xf>
    <xf numFmtId="0" fontId="43" fillId="24" borderId="3" applyNumberFormat="0" applyAlignment="0" applyProtection="0"/>
    <xf numFmtId="0" fontId="14" fillId="25" borderId="5" applyNumberFormat="0" applyFont="0" applyAlignment="0"/>
    <xf numFmtId="37" fontId="51" fillId="26" borderId="18"/>
    <xf numFmtId="0" fontId="52" fillId="0" borderId="19">
      <alignment horizontal="right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3" fillId="24" borderId="3" applyNumberFormat="0" applyAlignment="0" applyProtection="0"/>
    <xf numFmtId="0" fontId="56" fillId="32" borderId="0" applyNumberFormat="0" applyBorder="0" applyAlignment="0" applyProtection="0"/>
    <xf numFmtId="0" fontId="56" fillId="14" borderId="0" applyNumberFormat="0" applyBorder="0" applyAlignment="0" applyProtection="0"/>
    <xf numFmtId="0" fontId="56" fillId="33" borderId="0" applyNumberFormat="0" applyBorder="0" applyAlignment="0" applyProtection="0"/>
    <xf numFmtId="0" fontId="56" fillId="32" borderId="0" applyNumberFormat="0" applyBorder="0" applyAlignment="0" applyProtection="0"/>
    <xf numFmtId="0" fontId="56" fillId="34" borderId="0" applyNumberFormat="0" applyBorder="0" applyAlignment="0" applyProtection="0"/>
    <xf numFmtId="0" fontId="56" fillId="14" borderId="0" applyNumberFormat="0" applyBorder="0" applyAlignment="0" applyProtection="0"/>
    <xf numFmtId="0" fontId="56" fillId="35" borderId="0" applyNumberFormat="0" applyBorder="0" applyAlignment="0" applyProtection="0"/>
    <xf numFmtId="0" fontId="56" fillId="36" borderId="0" applyNumberFormat="0" applyBorder="0" applyAlignment="0" applyProtection="0"/>
    <xf numFmtId="0" fontId="56" fillId="7" borderId="0" applyNumberFormat="0" applyBorder="0" applyAlignment="0" applyProtection="0"/>
    <xf numFmtId="0" fontId="56" fillId="35" borderId="0" applyNumberFormat="0" applyBorder="0" applyAlignment="0" applyProtection="0"/>
    <xf numFmtId="0" fontId="56" fillId="37" borderId="0" applyNumberFormat="0" applyBorder="0" applyAlignment="0" applyProtection="0"/>
    <xf numFmtId="0" fontId="56" fillId="14" borderId="0" applyNumberFormat="0" applyBorder="0" applyAlignment="0" applyProtection="0"/>
    <xf numFmtId="0" fontId="57" fillId="38" borderId="0" applyNumberFormat="0" applyBorder="0" applyAlignment="0" applyProtection="0"/>
    <xf numFmtId="0" fontId="57" fillId="36" borderId="0" applyNumberFormat="0" applyBorder="0" applyAlignment="0" applyProtection="0"/>
    <xf numFmtId="0" fontId="57" fillId="7" borderId="0" applyNumberFormat="0" applyBorder="0" applyAlignment="0" applyProtection="0"/>
    <xf numFmtId="0" fontId="57" fillId="35" borderId="0" applyNumberFormat="0" applyBorder="0" applyAlignment="0" applyProtection="0"/>
    <xf numFmtId="0" fontId="57" fillId="38" borderId="0" applyNumberFormat="0" applyBorder="0" applyAlignment="0" applyProtection="0"/>
    <xf numFmtId="0" fontId="57" fillId="14" borderId="0" applyNumberFormat="0" applyBorder="0" applyAlignment="0" applyProtection="0"/>
    <xf numFmtId="0" fontId="57" fillId="38" borderId="0" applyNumberFormat="0" applyBorder="0" applyAlignment="0" applyProtection="0"/>
    <xf numFmtId="0" fontId="57" fillId="39" borderId="0" applyNumberFormat="0" applyBorder="0" applyAlignment="0" applyProtection="0"/>
    <xf numFmtId="0" fontId="57" fillId="40" borderId="0" applyNumberFormat="0" applyBorder="0" applyAlignment="0" applyProtection="0"/>
    <xf numFmtId="0" fontId="57" fillId="41" borderId="0" applyNumberFormat="0" applyBorder="0" applyAlignment="0" applyProtection="0"/>
    <xf numFmtId="0" fontId="57" fillId="38" borderId="0" applyNumberFormat="0" applyBorder="0" applyAlignment="0" applyProtection="0"/>
    <xf numFmtId="0" fontId="57" fillId="42" borderId="0" applyNumberFormat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58" fillId="43" borderId="0" applyNumberFormat="0" applyBorder="0" applyAlignment="0" applyProtection="0"/>
    <xf numFmtId="0" fontId="2" fillId="18" borderId="15" applyNumberFormat="0" applyBorder="0"/>
    <xf numFmtId="0" fontId="2" fillId="18" borderId="15" applyNumberFormat="0" applyBorder="0"/>
    <xf numFmtId="0" fontId="59" fillId="32" borderId="21" applyNumberFormat="0" applyAlignment="0" applyProtection="0"/>
    <xf numFmtId="0" fontId="60" fillId="44" borderId="22" applyNumberFormat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2" fillId="0" borderId="23">
      <alignment vertical="top"/>
    </xf>
    <xf numFmtId="0" fontId="63" fillId="45" borderId="0" applyNumberFormat="0" applyBorder="0" applyAlignment="0" applyProtection="0"/>
    <xf numFmtId="37" fontId="2" fillId="18" borderId="0">
      <alignment horizontal="right"/>
    </xf>
    <xf numFmtId="37" fontId="2" fillId="18" borderId="0">
      <alignment horizontal="right"/>
    </xf>
    <xf numFmtId="0" fontId="64" fillId="0" borderId="24" applyNumberFormat="0" applyFill="0" applyAlignment="0" applyProtection="0"/>
    <xf numFmtId="0" fontId="65" fillId="0" borderId="25" applyNumberFormat="0" applyFill="0" applyAlignment="0" applyProtection="0"/>
    <xf numFmtId="0" fontId="66" fillId="0" borderId="26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14" borderId="21" applyNumberFormat="0" applyAlignment="0" applyProtection="0"/>
    <xf numFmtId="0" fontId="69" fillId="0" borderId="27" applyNumberFormat="0" applyFill="0" applyAlignment="0" applyProtection="0"/>
    <xf numFmtId="0" fontId="70" fillId="7" borderId="0" applyNumberFormat="0" applyBorder="0" applyAlignment="0" applyProtection="0"/>
    <xf numFmtId="0" fontId="71" fillId="32" borderId="28" applyNumberFormat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0" applyNumberFormat="0" applyFill="0" applyBorder="0" applyAlignment="0" applyProtection="0"/>
  </cellStyleXfs>
  <cellXfs count="307">
    <xf numFmtId="0" fontId="0" fillId="0" borderId="0" xfId="0"/>
    <xf numFmtId="0" fontId="3" fillId="3" borderId="2" xfId="1" applyFont="1" applyFill="1" applyBorder="1" applyAlignment="1">
      <alignment horizontal="left" vertical="center"/>
    </xf>
    <xf numFmtId="0" fontId="4" fillId="0" borderId="0" xfId="2" applyFont="1"/>
    <xf numFmtId="0" fontId="2" fillId="0" borderId="0" xfId="1" applyFont="1"/>
    <xf numFmtId="1" fontId="2" fillId="0" borderId="0" xfId="1" applyNumberFormat="1" applyFont="1" applyFill="1" applyBorder="1" applyAlignment="1" applyProtection="1">
      <alignment vertical="center"/>
      <protection locked="0"/>
    </xf>
    <xf numFmtId="1" fontId="5" fillId="0" borderId="0" xfId="3" applyNumberFormat="1" applyFont="1" applyFill="1" applyBorder="1" applyAlignment="1" applyProtection="1">
      <alignment horizontal="right"/>
      <protection locked="0"/>
    </xf>
    <xf numFmtId="1" fontId="6" fillId="0" borderId="0" xfId="3" applyNumberFormat="1" applyFont="1" applyFill="1" applyBorder="1" applyAlignment="1" applyProtection="1">
      <alignment horizontal="right"/>
      <protection locked="0"/>
    </xf>
    <xf numFmtId="0" fontId="8" fillId="0" borderId="0" xfId="4" applyFont="1"/>
    <xf numFmtId="1" fontId="2" fillId="0" borderId="0" xfId="1" applyNumberFormat="1" applyFont="1" applyFill="1" applyBorder="1" applyAlignment="1" applyProtection="1">
      <alignment horizontal="right"/>
      <protection locked="0"/>
    </xf>
    <xf numFmtId="1" fontId="6" fillId="0" borderId="2" xfId="1" applyNumberFormat="1" applyFont="1" applyFill="1" applyBorder="1" applyAlignment="1" applyProtection="1">
      <alignment horizontal="center"/>
    </xf>
    <xf numFmtId="1" fontId="9" fillId="4" borderId="2" xfId="4" applyNumberFormat="1" applyFont="1" applyFill="1" applyBorder="1" applyAlignment="1" applyProtection="1">
      <alignment horizontal="center"/>
    </xf>
    <xf numFmtId="165" fontId="10" fillId="0" borderId="0" xfId="5" applyNumberFormat="1" applyFont="1" applyFill="1" applyBorder="1" applyAlignment="1" applyProtection="1">
      <alignment horizontal="right" vertical="center"/>
      <protection locked="0"/>
    </xf>
    <xf numFmtId="0" fontId="11" fillId="0" borderId="0" xfId="1" applyFont="1" applyFill="1" applyProtection="1">
      <protection locked="0"/>
    </xf>
    <xf numFmtId="1" fontId="2" fillId="0" borderId="0" xfId="6" applyNumberFormat="1" applyFont="1" applyFill="1" applyBorder="1" applyAlignment="1" applyProtection="1">
      <alignment vertical="center"/>
      <protection locked="0"/>
    </xf>
    <xf numFmtId="1" fontId="6" fillId="0" borderId="0" xfId="6" applyNumberFormat="1" applyFont="1" applyFill="1" applyBorder="1" applyAlignment="1" applyProtection="1">
      <alignment horizontal="left" vertical="center"/>
      <protection locked="0"/>
    </xf>
    <xf numFmtId="1" fontId="10" fillId="0" borderId="0" xfId="6" applyNumberFormat="1" applyFont="1" applyFill="1" applyBorder="1" applyAlignment="1" applyProtection="1">
      <alignment vertical="center"/>
      <protection locked="0"/>
    </xf>
    <xf numFmtId="166" fontId="2" fillId="5" borderId="3" xfId="1" applyNumberFormat="1" applyFont="1" applyFill="1" applyBorder="1" applyAlignment="1">
      <alignment horizontal="right" vertical="center"/>
    </xf>
    <xf numFmtId="1" fontId="2" fillId="0" borderId="0" xfId="6" applyNumberFormat="1" applyFont="1" applyFill="1" applyBorder="1" applyAlignment="1" applyProtection="1">
      <alignment vertical="center" shrinkToFit="1"/>
      <protection locked="0"/>
    </xf>
    <xf numFmtId="1" fontId="2" fillId="0" borderId="0" xfId="6" applyNumberFormat="1" applyFont="1" applyFill="1" applyAlignment="1" applyProtection="1">
      <alignment vertical="center"/>
      <protection locked="0"/>
    </xf>
    <xf numFmtId="49" fontId="12" fillId="6" borderId="4" xfId="1" applyNumberFormat="1" applyFont="1" applyFill="1" applyBorder="1" applyAlignment="1">
      <alignment horizontal="right" vertical="center"/>
    </xf>
    <xf numFmtId="49" fontId="12" fillId="6" borderId="2" xfId="1" applyNumberFormat="1" applyFont="1" applyFill="1" applyBorder="1" applyAlignment="1">
      <alignment horizontal="right" vertical="center"/>
    </xf>
    <xf numFmtId="0" fontId="12" fillId="6" borderId="2" xfId="1" applyFont="1" applyFill="1" applyBorder="1" applyAlignment="1">
      <alignment horizontal="left" vertical="center"/>
    </xf>
    <xf numFmtId="0" fontId="13" fillId="6" borderId="2" xfId="1" applyFont="1" applyFill="1" applyBorder="1" applyAlignment="1">
      <alignment horizontal="left" vertical="center"/>
    </xf>
    <xf numFmtId="0" fontId="12" fillId="0" borderId="0" xfId="1" applyFont="1"/>
    <xf numFmtId="1" fontId="2" fillId="7" borderId="5" xfId="7" applyNumberFormat="1" applyFont="1" applyAlignment="1" applyProtection="1">
      <alignment horizontal="center" vertical="center"/>
      <protection locked="0"/>
    </xf>
    <xf numFmtId="0" fontId="8" fillId="0" borderId="5" xfId="1" applyFont="1" applyBorder="1"/>
    <xf numFmtId="0" fontId="6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 shrinkToFit="1"/>
      <protection locked="0"/>
    </xf>
    <xf numFmtId="0" fontId="2" fillId="0" borderId="0" xfId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vertical="center"/>
      <protection locked="0"/>
    </xf>
    <xf numFmtId="0" fontId="2" fillId="0" borderId="0" xfId="1" applyFont="1" applyFill="1" applyProtection="1">
      <protection locked="0"/>
    </xf>
    <xf numFmtId="0" fontId="11" fillId="0" borderId="0" xfId="1" applyFont="1" applyFill="1" applyBorder="1" applyAlignment="1" applyProtection="1">
      <alignment shrinkToFit="1"/>
      <protection locked="0"/>
    </xf>
    <xf numFmtId="0" fontId="2" fillId="0" borderId="0" xfId="1" applyFont="1" applyFill="1" applyBorder="1" applyProtection="1">
      <protection locked="0"/>
    </xf>
    <xf numFmtId="0" fontId="2" fillId="0" borderId="0" xfId="1" applyFont="1" applyFill="1" applyBorder="1" applyAlignment="1" applyProtection="1">
      <alignment horizontal="left" indent="1" shrinkToFit="1"/>
      <protection locked="0"/>
    </xf>
    <xf numFmtId="0" fontId="16" fillId="0" borderId="0" xfId="1" applyFont="1" applyFill="1" applyBorder="1" applyAlignment="1" applyProtection="1">
      <alignment vertical="center"/>
      <protection locked="0"/>
    </xf>
    <xf numFmtId="167" fontId="2" fillId="0" borderId="0" xfId="1" applyNumberFormat="1" applyFont="1" applyFill="1" applyBorder="1" applyAlignment="1" applyProtection="1">
      <alignment horizontal="right"/>
      <protection locked="0"/>
    </xf>
    <xf numFmtId="165" fontId="2" fillId="8" borderId="5" xfId="7" applyNumberFormat="1" applyFont="1" applyFill="1" applyAlignment="1" applyProtection="1">
      <alignment horizontal="right"/>
    </xf>
    <xf numFmtId="0" fontId="17" fillId="0" borderId="0" xfId="1" applyFont="1" applyFill="1" applyBorder="1" applyAlignment="1" applyProtection="1">
      <alignment vertical="center"/>
      <protection locked="0"/>
    </xf>
    <xf numFmtId="168" fontId="10" fillId="0" borderId="0" xfId="1" applyNumberFormat="1" applyFont="1" applyFill="1" applyProtection="1">
      <protection locked="0"/>
    </xf>
    <xf numFmtId="0" fontId="2" fillId="0" borderId="0" xfId="1" applyFont="1" applyFill="1" applyBorder="1" applyAlignment="1" applyProtection="1">
      <alignment vertical="center" shrinkToFit="1"/>
      <protection locked="0"/>
    </xf>
    <xf numFmtId="0" fontId="2" fillId="0" borderId="0" xfId="1" applyFont="1" applyFill="1" applyBorder="1" applyAlignment="1" applyProtection="1">
      <alignment shrinkToFit="1"/>
      <protection locked="0"/>
    </xf>
    <xf numFmtId="167" fontId="2" fillId="0" borderId="0" xfId="1" applyNumberFormat="1" applyFont="1" applyFill="1" applyBorder="1" applyAlignment="1" applyProtection="1">
      <alignment vertical="center"/>
      <protection locked="0"/>
    </xf>
    <xf numFmtId="0" fontId="18" fillId="0" borderId="0" xfId="1" applyFont="1" applyFill="1" applyBorder="1" applyAlignment="1" applyProtection="1">
      <alignment vertical="center"/>
      <protection locked="0"/>
    </xf>
    <xf numFmtId="167" fontId="2" fillId="0" borderId="0" xfId="1" applyNumberFormat="1" applyFont="1" applyFill="1" applyBorder="1" applyProtection="1">
      <protection locked="0"/>
    </xf>
    <xf numFmtId="165" fontId="2" fillId="9" borderId="5" xfId="7" applyNumberFormat="1" applyFont="1" applyFill="1" applyAlignment="1" applyProtection="1">
      <alignment horizontal="right"/>
    </xf>
    <xf numFmtId="0" fontId="19" fillId="0" borderId="0" xfId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Border="1" applyProtection="1">
      <protection locked="0"/>
    </xf>
    <xf numFmtId="0" fontId="11" fillId="0" borderId="0" xfId="1" applyFont="1" applyBorder="1" applyAlignment="1" applyProtection="1">
      <alignment shrinkToFit="1"/>
      <protection locked="0"/>
    </xf>
    <xf numFmtId="0" fontId="2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2" fillId="0" borderId="0" xfId="1" applyFont="1" applyFill="1" applyBorder="1" applyAlignment="1" applyProtection="1">
      <alignment horizontal="left" vertical="center" indent="1" shrinkToFit="1"/>
      <protection locked="0"/>
    </xf>
    <xf numFmtId="0" fontId="2" fillId="0" borderId="0" xfId="1" applyFont="1" applyBorder="1" applyAlignment="1" applyProtection="1">
      <alignment shrinkToFit="1"/>
      <protection locked="0"/>
    </xf>
    <xf numFmtId="165" fontId="2" fillId="0" borderId="0" xfId="1" applyNumberFormat="1" applyFont="1" applyFill="1" applyBorder="1" applyAlignment="1" applyProtection="1">
      <alignment vertical="center"/>
      <protection locked="0"/>
    </xf>
    <xf numFmtId="169" fontId="2" fillId="0" borderId="0" xfId="1" applyNumberFormat="1" applyFont="1" applyFill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alignment shrinkToFit="1"/>
      <protection locked="0"/>
    </xf>
    <xf numFmtId="165" fontId="2" fillId="0" borderId="0" xfId="5" applyNumberFormat="1" applyFont="1" applyFill="1" applyBorder="1" applyAlignment="1" applyProtection="1">
      <alignment horizontal="right"/>
    </xf>
    <xf numFmtId="0" fontId="10" fillId="0" borderId="0" xfId="1" applyFont="1" applyFill="1" applyProtection="1">
      <protection locked="0"/>
    </xf>
    <xf numFmtId="0" fontId="20" fillId="0" borderId="0" xfId="1" applyFont="1" applyFill="1" applyBorder="1" applyAlignment="1" applyProtection="1">
      <alignment horizontal="center" vertical="center" shrinkToFit="1"/>
      <protection locked="0"/>
    </xf>
    <xf numFmtId="0" fontId="2" fillId="0" borderId="0" xfId="1" applyFont="1" applyBorder="1" applyAlignment="1" applyProtection="1">
      <alignment horizontal="left" indent="1" shrinkToFit="1"/>
      <protection locked="0"/>
    </xf>
    <xf numFmtId="0" fontId="21" fillId="0" borderId="0" xfId="1" applyFont="1" applyFill="1" applyBorder="1" applyAlignment="1" applyProtection="1">
      <alignment vertical="center"/>
      <protection locked="0"/>
    </xf>
    <xf numFmtId="166" fontId="2" fillId="0" borderId="5" xfId="6" applyNumberFormat="1" applyFont="1" applyFill="1" applyBorder="1" applyProtection="1">
      <protection locked="0"/>
    </xf>
    <xf numFmtId="171" fontId="6" fillId="0" borderId="0" xfId="8" applyFont="1" applyFill="1" applyBorder="1" applyAlignment="1">
      <alignment horizontal="left" vertical="top"/>
    </xf>
    <xf numFmtId="0" fontId="11" fillId="0" borderId="0" xfId="1" applyFont="1" applyFill="1" applyBorder="1" applyProtection="1">
      <protection locked="0"/>
    </xf>
    <xf numFmtId="171" fontId="2" fillId="0" borderId="0" xfId="8" applyFont="1" applyFill="1" applyBorder="1" applyAlignment="1">
      <alignment horizontal="left" vertical="top" wrapText="1" indent="1"/>
    </xf>
    <xf numFmtId="171" fontId="2" fillId="0" borderId="0" xfId="8" applyFont="1" applyFill="1" applyBorder="1" applyAlignment="1">
      <alignment horizontal="left" vertical="top" indent="1"/>
    </xf>
    <xf numFmtId="170" fontId="2" fillId="0" borderId="5" xfId="6" applyNumberFormat="1" applyFont="1" applyFill="1" applyBorder="1" applyProtection="1">
      <protection locked="0"/>
    </xf>
    <xf numFmtId="0" fontId="22" fillId="0" borderId="0" xfId="1" applyFont="1"/>
    <xf numFmtId="0" fontId="17" fillId="0" borderId="0" xfId="1" applyFont="1"/>
    <xf numFmtId="0" fontId="2" fillId="0" borderId="5" xfId="7" applyFont="1" applyFill="1" applyAlignment="1" applyProtection="1">
      <alignment horizontal="right"/>
    </xf>
    <xf numFmtId="0" fontId="17" fillId="0" borderId="0" xfId="1" applyFont="1" applyFill="1" applyProtection="1">
      <protection locked="0"/>
    </xf>
    <xf numFmtId="172" fontId="2" fillId="0" borderId="5" xfId="7" applyNumberFormat="1" applyFont="1" applyFill="1" applyAlignment="1">
      <alignment horizontal="right" vertical="top"/>
    </xf>
    <xf numFmtId="174" fontId="2" fillId="0" borderId="5" xfId="7" applyNumberFormat="1" applyFont="1" applyFill="1" applyAlignment="1" applyProtection="1">
      <alignment horizontal="right"/>
    </xf>
    <xf numFmtId="0" fontId="15" fillId="0" borderId="0" xfId="1" applyFont="1" applyFill="1" applyProtection="1">
      <protection locked="0"/>
    </xf>
    <xf numFmtId="0" fontId="2" fillId="0" borderId="0" xfId="1" applyFont="1" applyAlignment="1" applyProtection="1">
      <alignment shrinkToFit="1"/>
      <protection locked="0"/>
    </xf>
    <xf numFmtId="0" fontId="17" fillId="0" borderId="0" xfId="1" applyFont="1" applyProtection="1">
      <protection locked="0"/>
    </xf>
    <xf numFmtId="0" fontId="6" fillId="10" borderId="6" xfId="1" applyFont="1" applyFill="1" applyBorder="1" applyProtection="1">
      <protection locked="0"/>
    </xf>
    <xf numFmtId="0" fontId="6" fillId="10" borderId="7" xfId="1" applyFont="1" applyFill="1" applyBorder="1" applyProtection="1">
      <protection locked="0"/>
    </xf>
    <xf numFmtId="0" fontId="6" fillId="10" borderId="7" xfId="1" applyFont="1" applyFill="1" applyBorder="1" applyAlignment="1" applyProtection="1">
      <protection locked="0"/>
    </xf>
    <xf numFmtId="0" fontId="6" fillId="10" borderId="7" xfId="1" applyFont="1" applyFill="1" applyBorder="1" applyAlignment="1" applyProtection="1">
      <alignment shrinkToFit="1"/>
      <protection locked="0"/>
    </xf>
    <xf numFmtId="0" fontId="18" fillId="10" borderId="7" xfId="1" applyFont="1" applyFill="1" applyBorder="1" applyProtection="1">
      <protection locked="0"/>
    </xf>
    <xf numFmtId="49" fontId="23" fillId="0" borderId="0" xfId="5" applyNumberFormat="1" applyFont="1" applyFill="1" applyAlignment="1">
      <alignment horizontal="right" vertical="center"/>
    </xf>
    <xf numFmtId="0" fontId="2" fillId="0" borderId="0" xfId="5" applyFont="1" applyFill="1" applyAlignment="1">
      <alignment horizontal="left" vertical="center"/>
    </xf>
    <xf numFmtId="0" fontId="24" fillId="0" borderId="0" xfId="5" applyFont="1" applyFill="1" applyBorder="1" applyAlignment="1">
      <alignment horizontal="left" vertical="center"/>
    </xf>
    <xf numFmtId="49" fontId="23" fillId="0" borderId="0" xfId="5" applyNumberFormat="1" applyFont="1" applyFill="1" applyBorder="1" applyAlignment="1">
      <alignment shrinkToFit="1"/>
    </xf>
    <xf numFmtId="165" fontId="6" fillId="0" borderId="0" xfId="5" applyNumberFormat="1" applyFont="1" applyFill="1" applyBorder="1" applyAlignment="1">
      <alignment horizontal="right" vertical="center"/>
    </xf>
    <xf numFmtId="0" fontId="10" fillId="0" borderId="0" xfId="5" applyNumberFormat="1" applyFont="1" applyFill="1" applyBorder="1" applyAlignment="1">
      <alignment vertical="center"/>
    </xf>
    <xf numFmtId="0" fontId="2" fillId="0" borderId="0" xfId="5" applyNumberFormat="1" applyFont="1" applyFill="1" applyBorder="1" applyAlignment="1">
      <alignment vertical="center"/>
    </xf>
    <xf numFmtId="49" fontId="25" fillId="0" borderId="0" xfId="5" applyNumberFormat="1" applyFont="1" applyFill="1" applyBorder="1" applyAlignment="1" applyProtection="1">
      <alignment horizontal="right" vertical="center"/>
    </xf>
    <xf numFmtId="1" fontId="26" fillId="0" borderId="0" xfId="5" applyNumberFormat="1" applyFont="1" applyFill="1" applyBorder="1" applyAlignment="1" applyProtection="1">
      <alignment horizontal="right" vertical="center"/>
    </xf>
    <xf numFmtId="1" fontId="24" fillId="0" borderId="0" xfId="5" applyNumberFormat="1" applyFont="1" applyFill="1" applyBorder="1" applyAlignment="1" applyProtection="1">
      <alignment horizontal="right" vertical="center"/>
    </xf>
    <xf numFmtId="1" fontId="23" fillId="0" borderId="0" xfId="5" applyNumberFormat="1" applyFont="1" applyFill="1" applyBorder="1" applyAlignment="1" applyProtection="1">
      <alignment shrinkToFit="1"/>
    </xf>
    <xf numFmtId="10" fontId="6" fillId="0" borderId="0" xfId="1" applyNumberFormat="1" applyFont="1" applyFill="1" applyBorder="1" applyAlignment="1">
      <alignment horizontal="left" vertical="center"/>
    </xf>
    <xf numFmtId="1" fontId="2" fillId="0" borderId="0" xfId="1" applyNumberFormat="1" applyFont="1" applyFill="1" applyBorder="1" applyAlignment="1">
      <alignment vertical="center"/>
    </xf>
    <xf numFmtId="49" fontId="23" fillId="0" borderId="0" xfId="1" applyNumberFormat="1" applyFont="1" applyFill="1" applyAlignment="1">
      <alignment horizontal="right" vertical="center"/>
    </xf>
    <xf numFmtId="1" fontId="2" fillId="0" borderId="0" xfId="1" applyNumberFormat="1" applyFont="1" applyFill="1" applyAlignment="1">
      <alignment vertical="center"/>
    </xf>
    <xf numFmtId="1" fontId="20" fillId="0" borderId="0" xfId="1" applyNumberFormat="1" applyFont="1" applyFill="1" applyBorder="1" applyAlignment="1">
      <alignment horizontal="left" vertical="center"/>
    </xf>
    <xf numFmtId="1" fontId="23" fillId="0" borderId="0" xfId="1" applyNumberFormat="1" applyFont="1" applyFill="1" applyBorder="1" applyAlignment="1">
      <alignment shrinkToFit="1"/>
    </xf>
    <xf numFmtId="1" fontId="2" fillId="0" borderId="0" xfId="1" applyNumberFormat="1" applyFont="1" applyFill="1" applyBorder="1" applyAlignment="1">
      <alignment horizontal="right" vertical="center"/>
    </xf>
    <xf numFmtId="0" fontId="10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49" fontId="23" fillId="0" borderId="0" xfId="1" applyNumberFormat="1" applyFont="1" applyFill="1" applyAlignment="1">
      <alignment vertical="center"/>
    </xf>
    <xf numFmtId="1" fontId="20" fillId="0" borderId="0" xfId="1" applyNumberFormat="1" applyFont="1" applyFill="1" applyBorder="1" applyAlignment="1">
      <alignment vertical="center"/>
    </xf>
    <xf numFmtId="10" fontId="6" fillId="0" borderId="0" xfId="1" applyNumberFormat="1" applyFont="1" applyFill="1" applyBorder="1" applyAlignment="1">
      <alignment vertical="center"/>
    </xf>
    <xf numFmtId="0" fontId="10" fillId="0" borderId="0" xfId="1" applyFont="1"/>
    <xf numFmtId="0" fontId="11" fillId="0" borderId="0" xfId="1" applyFont="1" applyFill="1"/>
    <xf numFmtId="0" fontId="11" fillId="0" borderId="0" xfId="1" applyFont="1" applyFill="1" applyBorder="1"/>
    <xf numFmtId="0" fontId="11" fillId="0" borderId="0" xfId="1" applyFont="1" applyFill="1" applyBorder="1" applyAlignment="1"/>
    <xf numFmtId="0" fontId="11" fillId="0" borderId="0" xfId="1" applyFont="1" applyFill="1" applyAlignment="1"/>
    <xf numFmtId="0" fontId="27" fillId="0" borderId="0" xfId="1" applyFont="1" applyFill="1"/>
    <xf numFmtId="0" fontId="11" fillId="0" borderId="0" xfId="1" applyFont="1" applyFill="1" applyBorder="1" applyAlignment="1">
      <alignment shrinkToFit="1"/>
    </xf>
    <xf numFmtId="0" fontId="6" fillId="0" borderId="0" xfId="1" applyFont="1" applyFill="1" applyBorder="1" applyAlignment="1">
      <alignment shrinkToFit="1"/>
    </xf>
    <xf numFmtId="167" fontId="11" fillId="0" borderId="0" xfId="1" applyNumberFormat="1" applyFont="1" applyFill="1" applyBorder="1"/>
    <xf numFmtId="0" fontId="6" fillId="0" borderId="0" xfId="1" applyFont="1" applyFill="1" applyBorder="1" applyAlignment="1" applyProtection="1">
      <alignment horizontal="left" indent="1" shrinkToFit="1"/>
      <protection locked="0"/>
    </xf>
    <xf numFmtId="165" fontId="6" fillId="0" borderId="8" xfId="5" applyNumberFormat="1" applyFont="1" applyFill="1" applyBorder="1" applyAlignment="1" applyProtection="1">
      <alignment horizontal="right"/>
    </xf>
    <xf numFmtId="0" fontId="2" fillId="0" borderId="0" xfId="1" applyFont="1" applyFill="1" applyBorder="1" applyAlignment="1" applyProtection="1">
      <alignment horizontal="left" indent="2" shrinkToFit="1"/>
      <protection locked="0"/>
    </xf>
    <xf numFmtId="0" fontId="17" fillId="0" borderId="0" xfId="1" applyFont="1" applyFill="1" applyBorder="1"/>
    <xf numFmtId="168" fontId="2" fillId="0" borderId="0" xfId="1" applyNumberFormat="1" applyFont="1" applyFill="1" applyBorder="1"/>
    <xf numFmtId="0" fontId="2" fillId="0" borderId="0" xfId="1" applyFont="1" applyFill="1"/>
    <xf numFmtId="0" fontId="2" fillId="0" borderId="0" xfId="1" applyFont="1" applyFill="1" applyBorder="1"/>
    <xf numFmtId="9" fontId="2" fillId="0" borderId="0" xfId="6" applyFont="1" applyFill="1" applyBorder="1" applyAlignment="1" applyProtection="1">
      <alignment horizontal="right"/>
      <protection locked="0"/>
    </xf>
    <xf numFmtId="168" fontId="2" fillId="0" borderId="0" xfId="6" applyNumberFormat="1" applyFont="1" applyFill="1" applyBorder="1"/>
    <xf numFmtId="9" fontId="2" fillId="0" borderId="0" xfId="6" applyFont="1" applyFill="1" applyBorder="1"/>
    <xf numFmtId="0" fontId="6" fillId="0" borderId="0" xfId="1" applyFont="1" applyFill="1" applyBorder="1" applyAlignment="1" applyProtection="1">
      <alignment shrinkToFit="1"/>
      <protection locked="0"/>
    </xf>
    <xf numFmtId="175" fontId="2" fillId="0" borderId="5" xfId="7" applyNumberFormat="1" applyFont="1" applyFill="1" applyAlignment="1" applyProtection="1">
      <alignment shrinkToFit="1"/>
      <protection locked="0"/>
    </xf>
    <xf numFmtId="165" fontId="2" fillId="0" borderId="5" xfId="7" applyNumberFormat="1" applyFont="1" applyFill="1" applyAlignment="1" applyProtection="1">
      <alignment horizontal="right"/>
    </xf>
    <xf numFmtId="168" fontId="17" fillId="0" borderId="0" xfId="1" applyNumberFormat="1" applyFont="1" applyFill="1" applyBorder="1"/>
    <xf numFmtId="0" fontId="6" fillId="0" borderId="0" xfId="1" applyFont="1"/>
    <xf numFmtId="0" fontId="11" fillId="0" borderId="0" xfId="1" applyFont="1" applyBorder="1"/>
    <xf numFmtId="0" fontId="2" fillId="0" borderId="0" xfId="1" applyFont="1" applyAlignment="1">
      <alignment shrinkToFit="1"/>
    </xf>
    <xf numFmtId="0" fontId="10" fillId="0" borderId="0" xfId="1" applyFont="1" applyFill="1"/>
    <xf numFmtId="0" fontId="28" fillId="10" borderId="6" xfId="1" applyFont="1" applyFill="1" applyBorder="1"/>
    <xf numFmtId="0" fontId="28" fillId="10" borderId="7" xfId="1" applyFont="1" applyFill="1" applyBorder="1"/>
    <xf numFmtId="0" fontId="29" fillId="3" borderId="2" xfId="4" applyFont="1" applyFill="1" applyBorder="1" applyAlignment="1" applyProtection="1">
      <alignment horizontal="left" vertical="center"/>
    </xf>
    <xf numFmtId="1" fontId="26" fillId="0" borderId="2" xfId="4" applyNumberFormat="1" applyFont="1" applyFill="1" applyBorder="1" applyAlignment="1" applyProtection="1">
      <alignment horizontal="center"/>
    </xf>
    <xf numFmtId="0" fontId="17" fillId="0" borderId="0" xfId="4" applyFont="1"/>
    <xf numFmtId="176" fontId="8" fillId="0" borderId="0" xfId="4" applyNumberFormat="1" applyFont="1" applyAlignment="1">
      <alignment horizontal="center"/>
    </xf>
    <xf numFmtId="0" fontId="6" fillId="0" borderId="0" xfId="4" applyFont="1" applyFill="1" applyAlignment="1">
      <alignment vertical="center"/>
    </xf>
    <xf numFmtId="166" fontId="2" fillId="5" borderId="3" xfId="4" applyNumberFormat="1" applyFont="1" applyFill="1" applyBorder="1" applyAlignment="1">
      <alignment horizontal="right" vertical="center"/>
    </xf>
    <xf numFmtId="49" fontId="12" fillId="6" borderId="4" xfId="4" applyNumberFormat="1" applyFont="1" applyFill="1" applyBorder="1" applyAlignment="1">
      <alignment horizontal="right" vertical="center"/>
    </xf>
    <xf numFmtId="49" fontId="12" fillId="6" borderId="2" xfId="4" applyNumberFormat="1" applyFont="1" applyFill="1" applyBorder="1" applyAlignment="1">
      <alignment horizontal="right" vertical="center"/>
    </xf>
    <xf numFmtId="0" fontId="12" fillId="6" borderId="2" xfId="4" applyFont="1" applyFill="1" applyBorder="1" applyAlignment="1">
      <alignment horizontal="left" vertical="center"/>
    </xf>
    <xf numFmtId="0" fontId="13" fillId="6" borderId="2" xfId="4" applyFont="1" applyFill="1" applyBorder="1" applyAlignment="1">
      <alignment horizontal="left" vertical="center"/>
    </xf>
    <xf numFmtId="0" fontId="28" fillId="10" borderId="6" xfId="4" applyFont="1" applyFill="1" applyBorder="1"/>
    <xf numFmtId="0" fontId="28" fillId="10" borderId="7" xfId="4" applyFont="1" applyFill="1" applyBorder="1"/>
    <xf numFmtId="0" fontId="23" fillId="3" borderId="2" xfId="1" applyFont="1" applyFill="1" applyBorder="1" applyAlignment="1">
      <alignment vertical="center"/>
    </xf>
    <xf numFmtId="49" fontId="30" fillId="3" borderId="2" xfId="1" applyNumberFormat="1" applyFont="1" applyFill="1" applyBorder="1" applyAlignment="1"/>
    <xf numFmtId="0" fontId="23" fillId="3" borderId="2" xfId="1" applyFont="1" applyFill="1" applyBorder="1" applyAlignment="1">
      <alignment horizontal="right" vertical="center"/>
    </xf>
    <xf numFmtId="0" fontId="23" fillId="3" borderId="0" xfId="1" applyFont="1" applyFill="1" applyBorder="1" applyAlignment="1">
      <alignment horizontal="right" vertical="center"/>
    </xf>
    <xf numFmtId="0" fontId="10" fillId="3" borderId="0" xfId="1" applyNumberFormat="1" applyFont="1" applyFill="1" applyBorder="1" applyAlignment="1">
      <alignment vertical="center"/>
    </xf>
    <xf numFmtId="1" fontId="31" fillId="3" borderId="2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Border="1" applyAlignment="1">
      <alignment vertical="center" shrinkToFit="1"/>
    </xf>
    <xf numFmtId="0" fontId="2" fillId="0" borderId="0" xfId="1" applyNumberFormat="1" applyFont="1" applyFill="1" applyBorder="1" applyAlignment="1">
      <alignment horizontal="center" vertical="center" shrinkToFit="1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1" fontId="2" fillId="0" borderId="0" xfId="9" applyNumberFormat="1" applyFont="1" applyFill="1" applyBorder="1" applyAlignment="1" applyProtection="1">
      <alignment vertical="center"/>
    </xf>
    <xf numFmtId="1" fontId="2" fillId="0" borderId="0" xfId="9" applyNumberFormat="1" applyFont="1" applyFill="1" applyAlignment="1" applyProtection="1">
      <alignment vertical="center"/>
    </xf>
    <xf numFmtId="1" fontId="2" fillId="0" borderId="0" xfId="9" applyNumberFormat="1" applyFont="1" applyFill="1" applyBorder="1" applyAlignment="1" applyProtection="1">
      <alignment horizontal="left" vertical="center"/>
    </xf>
    <xf numFmtId="1" fontId="13" fillId="0" borderId="0" xfId="1" applyNumberFormat="1" applyFont="1" applyFill="1" applyBorder="1" applyAlignment="1" applyProtection="1">
      <alignment horizontal="left" vertical="center"/>
    </xf>
    <xf numFmtId="1" fontId="15" fillId="0" borderId="0" xfId="1" applyNumberFormat="1" applyFont="1" applyFill="1" applyBorder="1" applyAlignment="1" applyProtection="1">
      <alignment horizontal="left" vertical="center"/>
      <protection hidden="1"/>
    </xf>
    <xf numFmtId="1" fontId="6" fillId="0" borderId="0" xfId="1" applyNumberFormat="1" applyFont="1" applyFill="1" applyBorder="1" applyAlignment="1" applyProtection="1">
      <alignment horizontal="right" vertical="center"/>
      <protection hidden="1"/>
    </xf>
    <xf numFmtId="0" fontId="6" fillId="0" borderId="0" xfId="1" applyFont="1" applyFill="1" applyAlignment="1">
      <alignment horizontal="left" vertical="center"/>
    </xf>
    <xf numFmtId="1" fontId="15" fillId="0" borderId="0" xfId="1" applyNumberFormat="1" applyFont="1" applyFill="1" applyBorder="1" applyAlignment="1" applyProtection="1">
      <alignment horizontal="right" vertical="center"/>
      <protection hidden="1"/>
    </xf>
    <xf numFmtId="1" fontId="2" fillId="0" borderId="0" xfId="1" applyNumberFormat="1" applyFont="1" applyFill="1" applyBorder="1" applyAlignment="1" applyProtection="1">
      <alignment horizontal="right" vertical="center"/>
      <protection hidden="1"/>
    </xf>
    <xf numFmtId="176" fontId="28" fillId="0" borderId="0" xfId="4" applyNumberFormat="1" applyFont="1" applyAlignment="1">
      <alignment horizontal="center"/>
    </xf>
    <xf numFmtId="1" fontId="15" fillId="0" borderId="0" xfId="9" applyNumberFormat="1" applyFont="1" applyFill="1" applyBorder="1" applyAlignment="1" applyProtection="1">
      <alignment vertical="center"/>
    </xf>
    <xf numFmtId="0" fontId="15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right" vertical="center"/>
    </xf>
    <xf numFmtId="0" fontId="2" fillId="0" borderId="0" xfId="1" applyFont="1" applyFill="1" applyAlignment="1">
      <alignment horizontal="left" vertical="center" indent="1"/>
    </xf>
    <xf numFmtId="177" fontId="2" fillId="8" borderId="3" xfId="1" applyNumberFormat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shrinkToFit="1"/>
    </xf>
    <xf numFmtId="177" fontId="2" fillId="0" borderId="8" xfId="1" applyNumberFormat="1" applyFont="1" applyFill="1" applyBorder="1" applyAlignment="1" applyProtection="1">
      <alignment horizontal="right" vertical="center"/>
    </xf>
    <xf numFmtId="10" fontId="2" fillId="0" borderId="0" xfId="9" applyNumberFormat="1" applyFont="1" applyFill="1" applyAlignment="1" applyProtection="1">
      <alignment vertical="center"/>
    </xf>
    <xf numFmtId="10" fontId="2" fillId="0" borderId="0" xfId="9" applyNumberFormat="1" applyFont="1" applyFill="1" applyBorder="1" applyAlignment="1" applyProtection="1">
      <alignment horizontal="left" vertical="center"/>
    </xf>
    <xf numFmtId="10" fontId="2" fillId="0" borderId="0" xfId="9" applyNumberFormat="1" applyFont="1" applyFill="1" applyBorder="1" applyAlignment="1" applyProtection="1">
      <alignment vertical="center"/>
    </xf>
    <xf numFmtId="10" fontId="15" fillId="0" borderId="0" xfId="9" applyNumberFormat="1" applyFont="1" applyFill="1" applyBorder="1" applyAlignment="1" applyProtection="1">
      <alignment vertical="center"/>
    </xf>
    <xf numFmtId="177" fontId="2" fillId="0" borderId="0" xfId="1" applyNumberFormat="1" applyFont="1" applyAlignment="1">
      <alignment horizontal="right"/>
    </xf>
    <xf numFmtId="0" fontId="15" fillId="0" borderId="0" xfId="1" applyFont="1"/>
    <xf numFmtId="177" fontId="2" fillId="12" borderId="3" xfId="1" applyNumberFormat="1" applyFont="1" applyFill="1" applyBorder="1" applyAlignment="1">
      <alignment horizontal="right"/>
    </xf>
    <xf numFmtId="177" fontId="2" fillId="0" borderId="8" xfId="1" applyNumberFormat="1" applyFont="1" applyFill="1" applyBorder="1" applyAlignment="1">
      <alignment horizontal="right" vertical="center"/>
    </xf>
    <xf numFmtId="0" fontId="6" fillId="0" borderId="0" xfId="4" applyFont="1" applyFill="1" applyBorder="1" applyAlignment="1" applyProtection="1">
      <alignment vertical="center"/>
    </xf>
    <xf numFmtId="0" fontId="2" fillId="0" borderId="0" xfId="4" applyFont="1" applyFill="1" applyBorder="1" applyAlignment="1" applyProtection="1">
      <alignment horizontal="left" vertical="center" indent="1"/>
    </xf>
    <xf numFmtId="178" fontId="2" fillId="8" borderId="3" xfId="1" applyNumberFormat="1" applyFont="1" applyFill="1" applyBorder="1" applyAlignment="1" applyProtection="1">
      <alignment horizontal="right" vertical="center"/>
      <protection locked="0"/>
    </xf>
    <xf numFmtId="178" fontId="2" fillId="0" borderId="0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left" vertical="center" indent="1"/>
    </xf>
    <xf numFmtId="178" fontId="2" fillId="0" borderId="0" xfId="1" applyNumberFormat="1" applyFont="1" applyFill="1" applyBorder="1" applyAlignment="1" applyProtection="1">
      <alignment horizontal="right" vertical="center"/>
    </xf>
    <xf numFmtId="1" fontId="6" fillId="0" borderId="0" xfId="9" applyNumberFormat="1" applyFont="1" applyFill="1" applyAlignment="1" applyProtection="1">
      <alignment vertical="center"/>
    </xf>
    <xf numFmtId="10" fontId="2" fillId="0" borderId="0" xfId="1" applyNumberFormat="1" applyFont="1" applyFill="1" applyAlignment="1">
      <alignment shrinkToFit="1"/>
    </xf>
    <xf numFmtId="10" fontId="2" fillId="0" borderId="0" xfId="1" applyNumberFormat="1" applyFont="1" applyFill="1" applyAlignment="1">
      <alignment horizontal="left" vertical="center"/>
    </xf>
    <xf numFmtId="0" fontId="6" fillId="13" borderId="7" xfId="1" applyFont="1" applyFill="1" applyBorder="1"/>
    <xf numFmtId="0" fontId="15" fillId="13" borderId="7" xfId="1" applyFont="1" applyFill="1" applyBorder="1"/>
    <xf numFmtId="0" fontId="2" fillId="0" borderId="0" xfId="1" applyFont="1" applyAlignment="1" applyProtection="1">
      <protection locked="0"/>
    </xf>
    <xf numFmtId="0" fontId="2" fillId="0" borderId="0" xfId="5" applyFont="1" applyFill="1" applyBorder="1" applyAlignment="1">
      <alignment horizontal="left" vertical="center" shrinkToFit="1"/>
    </xf>
    <xf numFmtId="165" fontId="2" fillId="0" borderId="0" xfId="5" applyNumberFormat="1" applyFont="1" applyFill="1" applyBorder="1" applyAlignment="1">
      <alignment horizontal="right" vertical="center"/>
    </xf>
    <xf numFmtId="165" fontId="2" fillId="0" borderId="0" xfId="5" applyNumberFormat="1" applyFont="1" applyFill="1" applyAlignment="1">
      <alignment horizontal="right" vertical="center"/>
    </xf>
    <xf numFmtId="0" fontId="2" fillId="0" borderId="0" xfId="1" applyFont="1" applyFill="1" applyAlignment="1"/>
    <xf numFmtId="0" fontId="2" fillId="0" borderId="0" xfId="1" applyFont="1" applyBorder="1"/>
    <xf numFmtId="0" fontId="2" fillId="0" borderId="0" xfId="1" applyFont="1" applyFill="1" applyBorder="1" applyAlignment="1">
      <alignment horizontal="left" vertical="center" shrinkToFit="1"/>
    </xf>
    <xf numFmtId="0" fontId="2" fillId="0" borderId="0" xfId="1" applyFont="1" applyFill="1" applyBorder="1" applyAlignment="1">
      <alignment horizontal="right" vertical="center"/>
    </xf>
    <xf numFmtId="178" fontId="2" fillId="8" borderId="3" xfId="9" applyNumberFormat="1" applyFont="1" applyFill="1" applyBorder="1" applyProtection="1"/>
    <xf numFmtId="178" fontId="2" fillId="0" borderId="0" xfId="9" applyNumberFormat="1" applyFont="1" applyFill="1" applyBorder="1" applyProtection="1"/>
    <xf numFmtId="178" fontId="2" fillId="0" borderId="0" xfId="9" applyNumberFormat="1" applyFont="1" applyFill="1" applyBorder="1" applyAlignment="1" applyProtection="1">
      <alignment horizontal="center"/>
    </xf>
    <xf numFmtId="0" fontId="2" fillId="13" borderId="7" xfId="1" applyFont="1" applyFill="1" applyBorder="1"/>
    <xf numFmtId="0" fontId="2" fillId="13" borderId="7" xfId="1" applyFont="1" applyFill="1" applyBorder="1" applyAlignment="1"/>
    <xf numFmtId="1" fontId="17" fillId="0" borderId="0" xfId="6" applyNumberFormat="1" applyFont="1" applyFill="1" applyBorder="1" applyAlignment="1" applyProtection="1">
      <alignment vertical="center"/>
      <protection locked="0"/>
    </xf>
    <xf numFmtId="1" fontId="17" fillId="0" borderId="0" xfId="6" applyNumberFormat="1" applyFont="1" applyFill="1" applyAlignment="1" applyProtection="1">
      <alignment vertical="center"/>
      <protection locked="0"/>
    </xf>
    <xf numFmtId="0" fontId="28" fillId="0" borderId="0" xfId="0" applyFont="1"/>
    <xf numFmtId="0" fontId="2" fillId="0" borderId="0" xfId="0" applyFont="1" applyFill="1" applyAlignment="1" applyProtection="1">
      <alignment horizontal="left" vertical="center" indent="1"/>
    </xf>
    <xf numFmtId="165" fontId="2" fillId="0" borderId="0" xfId="7" applyNumberFormat="1" applyFont="1" applyFill="1" applyBorder="1" applyAlignment="1" applyProtection="1">
      <alignment horizontal="right"/>
    </xf>
    <xf numFmtId="165" fontId="6" fillId="0" borderId="0" xfId="7" applyNumberFormat="1" applyFont="1" applyFill="1" applyBorder="1" applyAlignment="1" applyProtection="1">
      <alignment horizontal="right"/>
    </xf>
    <xf numFmtId="1" fontId="2" fillId="0" borderId="0" xfId="6" applyNumberFormat="1" applyFont="1" applyFill="1" applyAlignment="1" applyProtection="1">
      <alignment horizontal="left" vertical="center" indent="1"/>
    </xf>
    <xf numFmtId="0" fontId="6" fillId="0" borderId="0" xfId="1" applyFont="1" applyAlignment="1">
      <alignment shrinkToFit="1"/>
    </xf>
    <xf numFmtId="165" fontId="6" fillId="0" borderId="0" xfId="1" applyNumberFormat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>
      <alignment horizontal="left" indent="1" shrinkToFit="1"/>
    </xf>
    <xf numFmtId="175" fontId="2" fillId="8" borderId="5" xfId="7" applyNumberFormat="1" applyFont="1" applyFill="1" applyAlignment="1" applyProtection="1">
      <alignment vertical="center"/>
      <protection locked="0"/>
    </xf>
    <xf numFmtId="166" fontId="2" fillId="27" borderId="3" xfId="1" applyNumberFormat="1" applyFont="1" applyFill="1" applyBorder="1" applyAlignment="1">
      <alignment horizontal="right" vertical="center"/>
    </xf>
    <xf numFmtId="0" fontId="53" fillId="0" borderId="0" xfId="1" applyFont="1" applyFill="1" applyBorder="1" applyAlignment="1" applyProtection="1">
      <alignment vertical="center"/>
      <protection locked="0"/>
    </xf>
    <xf numFmtId="0" fontId="54" fillId="6" borderId="2" xfId="1" applyFont="1" applyFill="1" applyBorder="1" applyAlignment="1">
      <alignment horizontal="left" vertical="center"/>
    </xf>
    <xf numFmtId="0" fontId="53" fillId="0" borderId="0" xfId="1" applyFont="1"/>
    <xf numFmtId="0" fontId="53" fillId="0" borderId="0" xfId="1" applyFont="1" applyFill="1"/>
    <xf numFmtId="2" fontId="2" fillId="0" borderId="5" xfId="7" applyNumberFormat="1" applyFont="1" applyFill="1" applyAlignment="1" applyProtection="1">
      <alignment shrinkToFit="1"/>
      <protection locked="0"/>
    </xf>
    <xf numFmtId="43" fontId="2" fillId="0" borderId="5" xfId="71" applyFont="1" applyFill="1" applyBorder="1" applyAlignment="1" applyProtection="1">
      <alignment shrinkToFit="1"/>
      <protection locked="0"/>
    </xf>
    <xf numFmtId="9" fontId="2" fillId="0" borderId="5" xfId="72" applyFont="1" applyFill="1" applyBorder="1" applyAlignment="1" applyProtection="1">
      <alignment horizontal="right"/>
    </xf>
    <xf numFmtId="0" fontId="2" fillId="28" borderId="5" xfId="7" applyFont="1" applyFill="1" applyProtection="1">
      <protection locked="0"/>
    </xf>
    <xf numFmtId="173" fontId="2" fillId="7" borderId="20" xfId="6" applyNumberFormat="1" applyFont="1" applyFill="1" applyBorder="1" applyProtection="1">
      <protection locked="0"/>
    </xf>
    <xf numFmtId="49" fontId="12" fillId="0" borderId="4" xfId="1" applyNumberFormat="1" applyFont="1" applyFill="1" applyBorder="1" applyAlignment="1">
      <alignment horizontal="right" vertical="center"/>
    </xf>
    <xf numFmtId="49" fontId="12" fillId="0" borderId="2" xfId="1" applyNumberFormat="1" applyFont="1" applyFill="1" applyBorder="1" applyAlignment="1">
      <alignment horizontal="right" vertical="center"/>
    </xf>
    <xf numFmtId="0" fontId="12" fillId="0" borderId="2" xfId="1" applyFont="1" applyFill="1" applyBorder="1" applyAlignment="1">
      <alignment horizontal="left" vertical="center"/>
    </xf>
    <xf numFmtId="0" fontId="13" fillId="0" borderId="2" xfId="1" applyFont="1" applyFill="1" applyBorder="1" applyAlignment="1">
      <alignment horizontal="left" vertical="center"/>
    </xf>
    <xf numFmtId="0" fontId="54" fillId="0" borderId="2" xfId="1" applyFont="1" applyFill="1" applyBorder="1" applyAlignment="1">
      <alignment horizontal="left" vertical="center"/>
    </xf>
    <xf numFmtId="0" fontId="12" fillId="0" borderId="0" xfId="1" applyFont="1" applyFill="1"/>
    <xf numFmtId="49" fontId="12" fillId="0" borderId="0" xfId="1" applyNumberFormat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54" fillId="0" borderId="0" xfId="1" applyFont="1" applyFill="1" applyBorder="1" applyAlignment="1">
      <alignment horizontal="left" vertical="center"/>
    </xf>
    <xf numFmtId="179" fontId="2" fillId="29" borderId="5" xfId="7" applyNumberFormat="1" applyFont="1" applyFill="1" applyProtection="1">
      <protection locked="0"/>
    </xf>
    <xf numFmtId="0" fontId="53" fillId="0" borderId="0" xfId="1" applyFont="1" applyFill="1" applyBorder="1" applyProtection="1">
      <protection locked="0"/>
    </xf>
    <xf numFmtId="167" fontId="53" fillId="0" borderId="0" xfId="1" applyNumberFormat="1" applyFont="1" applyFill="1" applyBorder="1" applyAlignment="1" applyProtection="1">
      <alignment vertical="center"/>
      <protection locked="0"/>
    </xf>
    <xf numFmtId="168" fontId="2" fillId="0" borderId="0" xfId="1" applyNumberFormat="1" applyFont="1"/>
    <xf numFmtId="180" fontId="8" fillId="8" borderId="5" xfId="7" applyNumberFormat="1" applyFont="1" applyFill="1" applyProtection="1">
      <protection locked="0"/>
    </xf>
    <xf numFmtId="170" fontId="2" fillId="0" borderId="5" xfId="7" applyNumberFormat="1" applyFont="1" applyFill="1" applyAlignment="1" applyProtection="1">
      <alignment shrinkToFit="1"/>
      <protection locked="0"/>
    </xf>
    <xf numFmtId="0" fontId="3" fillId="3" borderId="2" xfId="1" applyFont="1" applyFill="1" applyBorder="1" applyAlignment="1">
      <alignment vertical="center"/>
    </xf>
    <xf numFmtId="0" fontId="2" fillId="0" borderId="0" xfId="1" applyFont="1" applyBorder="1" applyAlignment="1"/>
    <xf numFmtId="0" fontId="2" fillId="0" borderId="0" xfId="1" applyFont="1" applyAlignment="1"/>
    <xf numFmtId="0" fontId="12" fillId="6" borderId="2" xfId="1" applyFont="1" applyFill="1" applyBorder="1" applyAlignment="1">
      <alignment vertical="center"/>
    </xf>
    <xf numFmtId="0" fontId="2" fillId="0" borderId="0" xfId="1" applyFont="1" applyFill="1" applyBorder="1" applyAlignment="1" applyProtection="1">
      <protection locked="0"/>
    </xf>
    <xf numFmtId="0" fontId="11" fillId="0" borderId="0" xfId="1" applyFont="1" applyFill="1" applyBorder="1" applyAlignment="1" applyProtection="1">
      <protection locked="0"/>
    </xf>
    <xf numFmtId="171" fontId="2" fillId="0" borderId="0" xfId="8" applyFont="1" applyFill="1" applyBorder="1" applyAlignment="1">
      <alignment vertical="center"/>
    </xf>
    <xf numFmtId="0" fontId="2" fillId="0" borderId="0" xfId="0" applyFont="1" applyFill="1" applyAlignment="1">
      <alignment shrinkToFit="1"/>
    </xf>
    <xf numFmtId="0" fontId="11" fillId="0" borderId="0" xfId="1" applyFont="1" applyBorder="1" applyAlignment="1"/>
    <xf numFmtId="0" fontId="28" fillId="10" borderId="7" xfId="1" applyFont="1" applyFill="1" applyBorder="1" applyAlignment="1"/>
    <xf numFmtId="178" fontId="2" fillId="0" borderId="0" xfId="73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vertical="center"/>
    </xf>
    <xf numFmtId="0" fontId="2" fillId="0" borderId="0" xfId="1" applyFont="1" applyAlignment="1" applyProtection="1">
      <alignment wrapText="1" shrinkToFit="1"/>
      <protection locked="0"/>
    </xf>
    <xf numFmtId="180" fontId="8" fillId="0" borderId="5" xfId="7" applyNumberFormat="1" applyFont="1" applyFill="1" applyProtection="1">
      <protection locked="0"/>
    </xf>
    <xf numFmtId="0" fontId="2" fillId="11" borderId="0" xfId="1" applyFont="1" applyFill="1" applyProtection="1">
      <protection locked="0"/>
    </xf>
    <xf numFmtId="0" fontId="10" fillId="11" borderId="0" xfId="1" applyFont="1" applyFill="1" applyProtection="1">
      <protection locked="0"/>
    </xf>
    <xf numFmtId="0" fontId="11" fillId="11" borderId="0" xfId="1" applyFont="1" applyFill="1" applyProtection="1">
      <protection locked="0"/>
    </xf>
    <xf numFmtId="0" fontId="11" fillId="11" borderId="0" xfId="1" applyFont="1" applyFill="1"/>
    <xf numFmtId="0" fontId="2" fillId="11" borderId="0" xfId="1" applyFont="1" applyFill="1"/>
    <xf numFmtId="173" fontId="2" fillId="0" borderId="5" xfId="6" applyNumberFormat="1" applyFont="1" applyFill="1" applyBorder="1" applyProtection="1">
      <protection locked="0"/>
    </xf>
    <xf numFmtId="49" fontId="12" fillId="30" borderId="4" xfId="1" applyNumberFormat="1" applyFont="1" applyFill="1" applyBorder="1" applyAlignment="1">
      <alignment horizontal="right" vertical="center"/>
    </xf>
    <xf numFmtId="49" fontId="12" fillId="30" borderId="2" xfId="1" applyNumberFormat="1" applyFont="1" applyFill="1" applyBorder="1" applyAlignment="1">
      <alignment horizontal="right" vertical="center"/>
    </xf>
    <xf numFmtId="0" fontId="12" fillId="30" borderId="2" xfId="1" applyFont="1" applyFill="1" applyBorder="1" applyAlignment="1">
      <alignment horizontal="left" vertical="center"/>
    </xf>
    <xf numFmtId="0" fontId="12" fillId="30" borderId="0" xfId="1" applyFont="1" applyFill="1"/>
    <xf numFmtId="167" fontId="2" fillId="0" borderId="0" xfId="6" applyNumberFormat="1" applyFont="1" applyFill="1" applyBorder="1"/>
    <xf numFmtId="10" fontId="2" fillId="0" borderId="5" xfId="72" applyNumberFormat="1" applyFont="1" applyFill="1" applyBorder="1" applyAlignment="1" applyProtection="1">
      <alignment horizontal="right"/>
    </xf>
    <xf numFmtId="10" fontId="2" fillId="0" borderId="5" xfId="72" applyNumberFormat="1" applyFont="1" applyFill="1" applyBorder="1" applyAlignment="1" applyProtection="1">
      <alignment shrinkToFit="1"/>
      <protection locked="0"/>
    </xf>
    <xf numFmtId="0" fontId="2" fillId="11" borderId="0" xfId="1" applyFont="1" applyFill="1" applyAlignment="1" applyProtection="1">
      <protection locked="0"/>
    </xf>
    <xf numFmtId="0" fontId="2" fillId="11" borderId="0" xfId="1" applyFont="1" applyFill="1" applyAlignment="1" applyProtection="1">
      <alignment shrinkToFit="1"/>
      <protection locked="0"/>
    </xf>
    <xf numFmtId="0" fontId="13" fillId="30" borderId="2" xfId="1" applyFont="1" applyFill="1" applyBorder="1" applyAlignment="1">
      <alignment horizontal="left" vertical="center"/>
    </xf>
    <xf numFmtId="167" fontId="11" fillId="0" borderId="0" xfId="1" applyNumberFormat="1" applyFont="1" applyFill="1"/>
    <xf numFmtId="172" fontId="2" fillId="0" borderId="5" xfId="7" applyNumberFormat="1" applyFont="1" applyFill="1" applyAlignment="1" applyProtection="1">
      <alignment shrinkToFit="1"/>
      <protection locked="0"/>
    </xf>
    <xf numFmtId="43" fontId="6" fillId="0" borderId="0" xfId="1" applyNumberFormat="1" applyFont="1" applyFill="1" applyBorder="1" applyAlignment="1" applyProtection="1">
      <alignment vertical="center"/>
      <protection locked="0"/>
    </xf>
    <xf numFmtId="0" fontId="11" fillId="31" borderId="0" xfId="1" applyFont="1" applyFill="1"/>
    <xf numFmtId="0" fontId="11" fillId="31" borderId="0" xfId="1" applyFont="1" applyFill="1" applyProtection="1">
      <protection locked="0"/>
    </xf>
    <xf numFmtId="0" fontId="2" fillId="31" borderId="0" xfId="1" applyFont="1" applyFill="1" applyProtection="1">
      <protection locked="0"/>
    </xf>
    <xf numFmtId="0" fontId="6" fillId="0" borderId="0" xfId="1" applyFont="1" applyFill="1"/>
    <xf numFmtId="165" fontId="2" fillId="0" borderId="0" xfId="71" applyNumberFormat="1" applyFont="1" applyFill="1" applyBorder="1" applyAlignment="1" applyProtection="1">
      <alignment horizontal="right" vertical="center"/>
      <protection locked="0"/>
    </xf>
    <xf numFmtId="0" fontId="28" fillId="0" borderId="0" xfId="0" applyFont="1" applyFill="1"/>
    <xf numFmtId="165" fontId="2" fillId="0" borderId="0" xfId="7" applyNumberFormat="1" applyFont="1" applyFill="1" applyBorder="1" applyAlignment="1" applyProtection="1">
      <alignment horizontal="left"/>
    </xf>
    <xf numFmtId="173" fontId="55" fillId="0" borderId="0" xfId="0" applyNumberFormat="1" applyFont="1"/>
    <xf numFmtId="0" fontId="2" fillId="11" borderId="0" xfId="1" applyFont="1" applyFill="1" applyBorder="1"/>
    <xf numFmtId="0" fontId="11" fillId="11" borderId="0" xfId="1" applyFont="1" applyFill="1" applyBorder="1" applyAlignment="1"/>
    <xf numFmtId="0" fontId="6" fillId="11" borderId="0" xfId="1" applyFont="1" applyFill="1" applyBorder="1" applyAlignment="1" applyProtection="1">
      <alignment shrinkToFit="1"/>
      <protection locked="0"/>
    </xf>
    <xf numFmtId="0" fontId="53" fillId="11" borderId="0" xfId="1" applyFont="1" applyFill="1"/>
    <xf numFmtId="0" fontId="11" fillId="11" borderId="0" xfId="1" applyFont="1" applyFill="1" applyBorder="1" applyAlignment="1">
      <alignment shrinkToFit="1"/>
    </xf>
    <xf numFmtId="0" fontId="11" fillId="11" borderId="0" xfId="1" applyFont="1" applyFill="1" applyBorder="1"/>
    <xf numFmtId="0" fontId="27" fillId="11" borderId="0" xfId="1" applyFont="1" applyFill="1"/>
    <xf numFmtId="0" fontId="2" fillId="11" borderId="0" xfId="1" applyFont="1" applyFill="1" applyBorder="1" applyAlignment="1" applyProtection="1">
      <protection locked="0"/>
    </xf>
    <xf numFmtId="0" fontId="2" fillId="11" borderId="0" xfId="1" applyFont="1" applyFill="1" applyBorder="1" applyAlignment="1" applyProtection="1">
      <alignment horizontal="left" indent="1" shrinkToFit="1"/>
      <protection locked="0"/>
    </xf>
    <xf numFmtId="0" fontId="16" fillId="11" borderId="0" xfId="1" applyFont="1" applyFill="1" applyBorder="1" applyAlignment="1" applyProtection="1">
      <alignment vertical="center"/>
      <protection locked="0"/>
    </xf>
    <xf numFmtId="165" fontId="2" fillId="11" borderId="0" xfId="7" applyNumberFormat="1" applyFont="1" applyFill="1" applyBorder="1" applyAlignment="1" applyProtection="1">
      <alignment horizontal="right"/>
    </xf>
    <xf numFmtId="0" fontId="2" fillId="11" borderId="0" xfId="0" applyFont="1" applyFill="1" applyAlignment="1">
      <alignment shrinkToFit="1"/>
    </xf>
    <xf numFmtId="165" fontId="2" fillId="11" borderId="5" xfId="7" applyNumberFormat="1" applyFont="1" applyFill="1" applyAlignment="1" applyProtection="1">
      <alignment horizontal="right"/>
    </xf>
    <xf numFmtId="165" fontId="2" fillId="11" borderId="0" xfId="5" applyNumberFormat="1" applyFont="1" applyFill="1" applyBorder="1" applyAlignment="1" applyProtection="1">
      <alignment horizontal="right"/>
    </xf>
    <xf numFmtId="167" fontId="11" fillId="11" borderId="0" xfId="1" applyNumberFormat="1" applyFont="1" applyFill="1" applyBorder="1"/>
    <xf numFmtId="0" fontId="2" fillId="11" borderId="0" xfId="1" applyFont="1" applyFill="1" applyBorder="1" applyProtection="1">
      <protection locked="0"/>
    </xf>
    <xf numFmtId="165" fontId="2" fillId="0" borderId="0" xfId="7" quotePrefix="1" applyNumberFormat="1" applyFont="1" applyFill="1" applyBorder="1" applyAlignment="1" applyProtection="1">
      <alignment horizontal="right"/>
    </xf>
    <xf numFmtId="165" fontId="2" fillId="0" borderId="5" xfId="7" quotePrefix="1" applyNumberFormat="1" applyFont="1" applyFill="1" applyAlignment="1" applyProtection="1">
      <alignment horizontal="right"/>
    </xf>
    <xf numFmtId="177" fontId="2" fillId="8" borderId="30" xfId="73" applyNumberFormat="1" applyFont="1" applyFill="1" applyBorder="1" applyAlignment="1" applyProtection="1">
      <alignment horizontal="right" vertical="center"/>
    </xf>
    <xf numFmtId="178" fontId="2" fillId="8" borderId="30" xfId="9" applyNumberFormat="1" applyFont="1" applyFill="1" applyBorder="1" applyProtection="1"/>
    <xf numFmtId="175" fontId="2" fillId="0" borderId="0" xfId="1" applyNumberFormat="1" applyFont="1" applyFill="1" applyBorder="1" applyAlignment="1" applyProtection="1">
      <alignment horizontal="right" vertical="center"/>
    </xf>
    <xf numFmtId="178" fontId="2" fillId="46" borderId="3" xfId="1" applyNumberFormat="1" applyFont="1" applyFill="1" applyBorder="1" applyAlignment="1" applyProtection="1">
      <alignment horizontal="right" vertical="center"/>
      <protection locked="0"/>
    </xf>
  </cellXfs>
  <cellStyles count="130">
    <cellStyle name="%" xfId="10"/>
    <cellStyle name="]_x000d__x000a_Zoomed=1_x000d__x000a_Row=0_x000d__x000a_Column=0_x000d__x000a_Height=0_x000d__x000a_Width=0_x000d__x000a_FontName=FoxFont_x000d__x000a_FontStyle=0_x000d__x000a_FontSize=9_x000d__x000a_PrtFontName=FoxPrin" xfId="11"/>
    <cellStyle name="20% - Accent1 2" xfId="75"/>
    <cellStyle name="20% - Accent2 2" xfId="76"/>
    <cellStyle name="20% - Accent3 2" xfId="77"/>
    <cellStyle name="20% - Accent4 2" xfId="78"/>
    <cellStyle name="20% - Accent5 2" xfId="79"/>
    <cellStyle name="20% - Accent6 2" xfId="80"/>
    <cellStyle name="40% - Accent1 2" xfId="81"/>
    <cellStyle name="40% - Accent2 2" xfId="82"/>
    <cellStyle name="40% - Accent3 2" xfId="83"/>
    <cellStyle name="40% - Accent4 2" xfId="84"/>
    <cellStyle name="40% - Accent5 2" xfId="85"/>
    <cellStyle name="40% - Accent6 2" xfId="86"/>
    <cellStyle name="60% - Accent1 2" xfId="87"/>
    <cellStyle name="60% - Accent2 2" xfId="88"/>
    <cellStyle name="60% - Accent3 2" xfId="89"/>
    <cellStyle name="60% - Accent4 2" xfId="90"/>
    <cellStyle name="60% - Accent5 2" xfId="91"/>
    <cellStyle name="60% - Accent6 2" xfId="92"/>
    <cellStyle name="Accent1 2" xfId="93"/>
    <cellStyle name="Accent2 2" xfId="94"/>
    <cellStyle name="Accent3 2" xfId="95"/>
    <cellStyle name="Accent4 2" xfId="96"/>
    <cellStyle name="Accent5 2" xfId="97"/>
    <cellStyle name="Accent6 2" xfId="98"/>
    <cellStyle name="Att1" xfId="5"/>
    <cellStyle name="Att1 2" xfId="99"/>
    <cellStyle name="Att1 3" xfId="100"/>
    <cellStyle name="Bad 2" xfId="101"/>
    <cellStyle name="BM CheckSum" xfId="12"/>
    <cellStyle name="BM Header Main" xfId="13"/>
    <cellStyle name="BM Header Secondary" xfId="14"/>
    <cellStyle name="BM Heading 1" xfId="15"/>
    <cellStyle name="BM Heading 2" xfId="16"/>
    <cellStyle name="BM Heading 3" xfId="2"/>
    <cellStyle name="BM Input" xfId="7"/>
    <cellStyle name="BM Input External Link" xfId="17"/>
    <cellStyle name="BM Input Modeller" xfId="18"/>
    <cellStyle name="BM Label" xfId="19"/>
    <cellStyle name="BM Modellers Input" xfId="20"/>
    <cellStyle name="BM UF" xfId="21"/>
    <cellStyle name="BMNumber" xfId="22"/>
    <cellStyle name="BMRangeName" xfId="23"/>
    <cellStyle name="bold_text" xfId="24"/>
    <cellStyle name="boldbluetxt_green" xfId="25"/>
    <cellStyle name="box" xfId="26"/>
    <cellStyle name="box 2" xfId="102"/>
    <cellStyle name="box 3" xfId="103"/>
    <cellStyle name="Brand Align Left Text" xfId="27"/>
    <cellStyle name="Brand Default" xfId="28"/>
    <cellStyle name="Brand Percent" xfId="29"/>
    <cellStyle name="Brand Source" xfId="30"/>
    <cellStyle name="Brand Subtitle with Underline" xfId="31"/>
    <cellStyle name="Brand Subtitle without Underline" xfId="32"/>
    <cellStyle name="Brand Title" xfId="33"/>
    <cellStyle name="Calculation 2" xfId="104"/>
    <cellStyle name="Check Cell 2" xfId="105"/>
    <cellStyle name="Comma" xfId="71" builtinId="3"/>
    <cellStyle name="Comma 2" xfId="34"/>
    <cellStyle name="Comma 3" xfId="35"/>
    <cellStyle name="Comma 3 2" xfId="36"/>
    <cellStyle name="Comma 3 2 2" xfId="106"/>
    <cellStyle name="Comma 3 3" xfId="107"/>
    <cellStyle name="Comma 4" xfId="108"/>
    <cellStyle name="Comma 5" xfId="37"/>
    <cellStyle name="Comma 6" xfId="109"/>
    <cellStyle name="Comma 7" xfId="110"/>
    <cellStyle name="Error" xfId="38"/>
    <cellStyle name="Explanatory Text 2" xfId="111"/>
    <cellStyle name="False" xfId="39"/>
    <cellStyle name="Fountain Col Header" xfId="40"/>
    <cellStyle name="Fountain Error" xfId="112"/>
    <cellStyle name="Fountain Input" xfId="41"/>
    <cellStyle name="Fountain Input 2" xfId="42"/>
    <cellStyle name="Fountain Table Header" xfId="43"/>
    <cellStyle name="Fountain Text" xfId="44"/>
    <cellStyle name="Fountain Text 2" xfId="45"/>
    <cellStyle name="Fountain Text 4" xfId="46"/>
    <cellStyle name="Good 2" xfId="113"/>
    <cellStyle name="Header" xfId="47"/>
    <cellStyle name="Header3rdlevel" xfId="48"/>
    <cellStyle name="Header3rdlevel 2" xfId="114"/>
    <cellStyle name="Header3rdlevel 3" xfId="115"/>
    <cellStyle name="Heading 1 2" xfId="116"/>
    <cellStyle name="Heading 2 2" xfId="117"/>
    <cellStyle name="Heading 3 2" xfId="118"/>
    <cellStyle name="Heading 4 2" xfId="119"/>
    <cellStyle name="Hyperlink 2" xfId="49"/>
    <cellStyle name="Hyperlink 3" xfId="120"/>
    <cellStyle name="In Development" xfId="50"/>
    <cellStyle name="Input 2" xfId="121"/>
    <cellStyle name="Linked Cell 2" xfId="122"/>
    <cellStyle name="Neutral 2" xfId="123"/>
    <cellStyle name="NJS" xfId="51"/>
    <cellStyle name="No Error" xfId="52"/>
    <cellStyle name="Normal" xfId="0" builtinId="0"/>
    <cellStyle name="Normal 2" xfId="53"/>
    <cellStyle name="Normal 2 2" xfId="54"/>
    <cellStyle name="Normal 2 3" xfId="55"/>
    <cellStyle name="Normal 3" xfId="56"/>
    <cellStyle name="Normal 3 2" xfId="57"/>
    <cellStyle name="Normal 4" xfId="58"/>
    <cellStyle name="Normal 4 2" xfId="1"/>
    <cellStyle name="Normal 4 2 2" xfId="73"/>
    <cellStyle name="Normal 5" xfId="59"/>
    <cellStyle name="Normal 5 2" xfId="60"/>
    <cellStyle name="Normal 6" xfId="61"/>
    <cellStyle name="Normal 7" xfId="62"/>
    <cellStyle name="Normal 8" xfId="8"/>
    <cellStyle name="Normal 9" xfId="4"/>
    <cellStyle name="Normal_Data_2" xfId="3"/>
    <cellStyle name="Note 2" xfId="63"/>
    <cellStyle name="Output 2" xfId="124"/>
    <cellStyle name="Percent" xfId="72" builtinId="5"/>
    <cellStyle name="Percent 2" xfId="6"/>
    <cellStyle name="Percent 2 2" xfId="9"/>
    <cellStyle name="Percent 3" xfId="64"/>
    <cellStyle name="Percent 4" xfId="125"/>
    <cellStyle name="Percent 4 2" xfId="65"/>
    <cellStyle name="Percent 5" xfId="126"/>
    <cellStyle name="Style 1" xfId="66"/>
    <cellStyle name="Title 2" xfId="127"/>
    <cellStyle name="Total 2" xfId="128"/>
    <cellStyle name="True" xfId="67"/>
    <cellStyle name="True 2" xfId="74"/>
    <cellStyle name="Unique Formula" xfId="68"/>
    <cellStyle name="Warning Text 2" xfId="129"/>
    <cellStyle name="white_text_on_blue" xfId="69"/>
    <cellStyle name="year_formats_pink" xfId="70"/>
  </cellStyles>
  <dxfs count="3">
    <dxf>
      <font>
        <b val="0"/>
        <i val="0"/>
        <strike val="0"/>
        <color rgb="FFFFC000"/>
      </font>
      <fill>
        <patternFill>
          <bgColor rgb="FFFFC000"/>
        </patternFill>
      </fill>
    </dxf>
    <dxf>
      <font>
        <b val="0"/>
        <i val="0"/>
        <strike val="0"/>
        <color rgb="FF92D050"/>
      </font>
      <fill>
        <patternFill>
          <bgColor rgb="FF92D050"/>
        </patternFill>
      </fill>
    </dxf>
    <dxf>
      <font>
        <color theme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890218\AppData\Local\Temp\notesF3B52A\PR09%20Legacy%20Blind%20Year%2020150619%20v3.0%20DRAF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PR19/PR14%20Reconciliation%20models/2017_8%20menu%20analysi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Regulation/Regulatory%20Accounts/2018-19/Financial%20metrics%20workings%2018-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Regulation/Regulatory%20Accounts/2018-19/PR14%20reconciliation%20updates%20for%2018-19/2019-20%20totex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Regulation/Regulatory%20Accounts/2018-19/PR14%20reconciliation%20updates%20for%2018-19/PR19-RCV-adjustments-feeder-model-July-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Inputs &gt;"/>
      <sheetName val="Inputs - general"/>
      <sheetName val="Inputs - water"/>
      <sheetName val="Inputs - waste"/>
      <sheetName val="Calcs &gt;"/>
      <sheetName val="Calcs - water"/>
      <sheetName val="Calcs - waste"/>
      <sheetName val="Other &gt;"/>
      <sheetName val="Timeline"/>
    </sheetNames>
    <sheetDataSet>
      <sheetData sheetId="0"/>
      <sheetData sheetId="1"/>
      <sheetData sheetId="2">
        <row r="10">
          <cell r="H10">
            <v>0.02</v>
          </cell>
        </row>
        <row r="14">
          <cell r="H14">
            <v>10000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eb 18"/>
      <sheetName val="Up to date Summay"/>
      <sheetName val="RPI - Feb 18"/>
      <sheetName val="Inputs"/>
      <sheetName val="Calcs"/>
      <sheetName val="Totex menu adjustments"/>
      <sheetName val="RPI"/>
      <sheetName val="Timeline"/>
    </sheetNames>
    <sheetDataSet>
      <sheetData sheetId="0"/>
      <sheetData sheetId="1">
        <row r="112">
          <cell r="B112">
            <v>80.162509204557892</v>
          </cell>
          <cell r="C112">
            <v>85.61783658200001</v>
          </cell>
          <cell r="D112">
            <v>95.271477186577016</v>
          </cell>
        </row>
        <row r="114">
          <cell r="B114">
            <v>1.6419999999999999</v>
          </cell>
          <cell r="C114">
            <v>1.6020000000000001</v>
          </cell>
          <cell r="D114">
            <v>1.8049999999999999</v>
          </cell>
          <cell r="F114">
            <v>1.1187256638905554</v>
          </cell>
        </row>
        <row r="115">
          <cell r="B115">
            <v>1.5697266316269769</v>
          </cell>
          <cell r="C115">
            <v>1.679</v>
          </cell>
          <cell r="D115">
            <v>1.4111974161360286</v>
          </cell>
          <cell r="F115">
            <v>1.6233227459346213</v>
          </cell>
        </row>
        <row r="136">
          <cell r="J136" t="str">
            <v>OFF</v>
          </cell>
        </row>
        <row r="137">
          <cell r="J137">
            <v>6.0460000000000003</v>
          </cell>
        </row>
      </sheetData>
      <sheetData sheetId="2">
        <row r="5">
          <cell r="H5">
            <v>3.3750000000000002E-2</v>
          </cell>
        </row>
      </sheetData>
      <sheetData sheetId="3"/>
      <sheetData sheetId="4">
        <row r="109">
          <cell r="L109">
            <v>-2.4893780232109509E-3</v>
          </cell>
        </row>
      </sheetData>
      <sheetData sheetId="5">
        <row r="11">
          <cell r="P11">
            <v>-0.28925452454696865</v>
          </cell>
        </row>
      </sheetData>
      <sheetData sheetId="6">
        <row r="24">
          <cell r="N24">
            <v>3.5749999999999997E-2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I"/>
      <sheetName val="Financial flows"/>
      <sheetName val="Financial flows cov"/>
      <sheetName val="Financial flows alternative"/>
      <sheetName val="Financial flows NHH div"/>
      <sheetName val="Financial flows int co"/>
      <sheetName val="Sheet1"/>
      <sheetName val="Line 4"/>
      <sheetName val="RORE calc"/>
      <sheetName val="RORE intco"/>
      <sheetName val="RORE covenant"/>
      <sheetName val="RORE alternative"/>
      <sheetName val="Lines 6 and 11"/>
      <sheetName val="Line 10"/>
      <sheetName val="Lines 13 and 14"/>
      <sheetName val="Line 16"/>
      <sheetName val="References"/>
      <sheetName val="15-16 totex"/>
      <sheetName val="16-17 totex"/>
      <sheetName val="17-18 totex"/>
      <sheetName val="18-19 totex"/>
      <sheetName val="Menu exclusions"/>
      <sheetName val="Table 4c"/>
      <sheetName val="5 year summary"/>
      <sheetName val="AMP6 Actual Retail Depreciation"/>
      <sheetName val="SummaryMenuExcl"/>
      <sheetName val="RAT dashboar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7">
          <cell r="B17">
            <v>96.806999999999988</v>
          </cell>
        </row>
      </sheetData>
      <sheetData sheetId="21">
        <row r="30">
          <cell r="E30">
            <v>1.08</v>
          </cell>
        </row>
        <row r="31">
          <cell r="E31">
            <v>2.1280000000000001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</sheetNames>
    <sheetDataSet>
      <sheetData sheetId="0">
        <row r="4">
          <cell r="F4">
            <v>95.493718000144668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ange Log"/>
      <sheetName val="Map &amp; Key"/>
      <sheetName val="Inputs"/>
      <sheetName val="Time"/>
      <sheetName val="Indexation"/>
      <sheetName val="Calc"/>
      <sheetName val="Summary_Output"/>
    </sheetNames>
    <sheetDataSet>
      <sheetData sheetId="0"/>
      <sheetData sheetId="1"/>
      <sheetData sheetId="2"/>
      <sheetData sheetId="3">
        <row r="52">
          <cell r="P52">
            <v>279.7</v>
          </cell>
          <cell r="Q52">
            <v>288.09100000000001</v>
          </cell>
          <cell r="R52">
            <v>296.84050565812504</v>
          </cell>
          <cell r="S52">
            <v>306.04256133352692</v>
          </cell>
          <cell r="T52">
            <v>315.22383817353273</v>
          </cell>
          <cell r="U52">
            <v>324.6805533187387</v>
          </cell>
          <cell r="V52">
            <v>334.4209699183009</v>
          </cell>
        </row>
        <row r="53">
          <cell r="P53">
            <v>280.7</v>
          </cell>
          <cell r="Q53">
            <v>289.12099999999998</v>
          </cell>
          <cell r="R53">
            <v>298.04717438031253</v>
          </cell>
          <cell r="S53">
            <v>307.28663678610218</v>
          </cell>
          <cell r="T53">
            <v>316.50523588968525</v>
          </cell>
          <cell r="U53">
            <v>326.00039296637584</v>
          </cell>
          <cell r="V53">
            <v>335.7804047553671</v>
          </cell>
        </row>
        <row r="54">
          <cell r="P54">
            <v>281.5</v>
          </cell>
          <cell r="Q54">
            <v>289.94499999999999</v>
          </cell>
          <cell r="R54">
            <v>298.70535731968755</v>
          </cell>
          <cell r="S54">
            <v>307.96522339659782</v>
          </cell>
          <cell r="T54">
            <v>317.20418009849578</v>
          </cell>
          <cell r="U54">
            <v>326.72030550145064</v>
          </cell>
          <cell r="V54">
            <v>336.52191466649418</v>
          </cell>
        </row>
        <row r="55">
          <cell r="P55">
            <v>281.7</v>
          </cell>
          <cell r="Q55">
            <v>290.15100000000001</v>
          </cell>
          <cell r="R55">
            <v>299.36354025906252</v>
          </cell>
          <cell r="S55">
            <v>308.64381000709341</v>
          </cell>
          <cell r="T55">
            <v>317.9031243073062</v>
          </cell>
          <cell r="U55">
            <v>327.44021803652538</v>
          </cell>
          <cell r="V55">
            <v>337.26342457762115</v>
          </cell>
        </row>
        <row r="56">
          <cell r="P56">
            <v>284.2</v>
          </cell>
          <cell r="Q56">
            <v>292.726</v>
          </cell>
          <cell r="R56">
            <v>301.33808907718748</v>
          </cell>
          <cell r="S56">
            <v>310.67956983858028</v>
          </cell>
          <cell r="T56">
            <v>319.99995693373768</v>
          </cell>
          <cell r="U56">
            <v>329.59995564174983</v>
          </cell>
          <cell r="V56">
            <v>339.48795431100234</v>
          </cell>
        </row>
        <row r="57">
          <cell r="P57">
            <v>284.10000000000002</v>
          </cell>
          <cell r="Q57">
            <v>292.62300000000005</v>
          </cell>
          <cell r="R57">
            <v>301.77687770343755</v>
          </cell>
          <cell r="S57">
            <v>311.1319609122441</v>
          </cell>
          <cell r="T57">
            <v>320.46591973961142</v>
          </cell>
          <cell r="U57">
            <v>330.07989733179977</v>
          </cell>
          <cell r="V57">
            <v>339.98229425175379</v>
          </cell>
        </row>
        <row r="58">
          <cell r="P58">
            <v>284.5</v>
          </cell>
          <cell r="Q58">
            <v>293.03500000000003</v>
          </cell>
          <cell r="R58">
            <v>301.9962720165625</v>
          </cell>
          <cell r="S58">
            <v>311.35815644907592</v>
          </cell>
          <cell r="T58">
            <v>320.69890114254821</v>
          </cell>
          <cell r="U58">
            <v>330.31986817682468</v>
          </cell>
          <cell r="V58">
            <v>340.22946422212942</v>
          </cell>
        </row>
        <row r="59">
          <cell r="P59">
            <v>284.60000000000002</v>
          </cell>
          <cell r="Q59">
            <v>293.13800000000003</v>
          </cell>
          <cell r="R59">
            <v>302.54475779937502</v>
          </cell>
          <cell r="S59">
            <v>311.92364529115559</v>
          </cell>
          <cell r="T59">
            <v>321.28135464989026</v>
          </cell>
          <cell r="U59">
            <v>330.91979528938697</v>
          </cell>
          <cell r="V59">
            <v>340.8473891480686</v>
          </cell>
        </row>
        <row r="60">
          <cell r="P60">
            <v>285.60000000000002</v>
          </cell>
          <cell r="Q60">
            <v>294.16800000000001</v>
          </cell>
          <cell r="R60">
            <v>305.06779240031256</v>
          </cell>
          <cell r="S60">
            <v>314.5248939647222</v>
          </cell>
          <cell r="T60">
            <v>323.96064078366385</v>
          </cell>
          <cell r="U60">
            <v>333.67946000717376</v>
          </cell>
          <cell r="V60">
            <v>343.68984380738897</v>
          </cell>
        </row>
        <row r="61">
          <cell r="P61">
            <v>283</v>
          </cell>
          <cell r="Q61">
            <v>291.49</v>
          </cell>
          <cell r="R61">
            <v>302.76415211250008</v>
          </cell>
          <cell r="S61">
            <v>312.14984082798759</v>
          </cell>
          <cell r="T61">
            <v>321.51433605282722</v>
          </cell>
          <cell r="U61">
            <v>331.15976613441205</v>
          </cell>
          <cell r="V61">
            <v>341.09455911844441</v>
          </cell>
        </row>
        <row r="62">
          <cell r="P62">
            <v>285</v>
          </cell>
          <cell r="Q62">
            <v>293.55</v>
          </cell>
          <cell r="R62">
            <v>305.06779240031256</v>
          </cell>
          <cell r="S62">
            <v>314.5248939647222</v>
          </cell>
          <cell r="T62">
            <v>323.96064078366385</v>
          </cell>
          <cell r="U62">
            <v>333.67946000717376</v>
          </cell>
          <cell r="V62">
            <v>343.68984380738897</v>
          </cell>
        </row>
        <row r="63">
          <cell r="P63">
            <v>285.10000000000002</v>
          </cell>
          <cell r="Q63">
            <v>293.65300000000002</v>
          </cell>
          <cell r="R63">
            <v>305.28718671343756</v>
          </cell>
          <cell r="S63">
            <v>314.75108950155408</v>
          </cell>
          <cell r="T63">
            <v>324.19362218660069</v>
          </cell>
          <cell r="U63">
            <v>333.91943085219873</v>
          </cell>
          <cell r="V63">
            <v>343.93701377776472</v>
          </cell>
        </row>
      </sheetData>
      <sheetData sheetId="4"/>
      <sheetData sheetId="5"/>
      <sheetData sheetId="6"/>
      <sheetData sheetId="7">
        <row r="32">
          <cell r="F32">
            <v>-6.3259923879758651E-2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AA165"/>
  <sheetViews>
    <sheetView showGridLines="0" tabSelected="1" zoomScale="70" zoomScaleNormal="70" workbookViewId="0">
      <pane xSplit="7" ySplit="7" topLeftCell="K8" activePane="bottomRight" state="frozen"/>
      <selection activeCell="K53" sqref="K53"/>
      <selection pane="topRight" activeCell="K53" sqref="K53"/>
      <selection pane="bottomLeft" activeCell="K53" sqref="K53"/>
      <selection pane="bottomRight" activeCell="O52" sqref="O52"/>
    </sheetView>
  </sheetViews>
  <sheetFormatPr defaultColWidth="0" defaultRowHeight="13.2" zeroHeight="1"/>
  <cols>
    <col min="1" max="2" width="3.109375" style="49" customWidth="1"/>
    <col min="3" max="3" width="3.109375" style="194" customWidth="1"/>
    <col min="4" max="4" width="10" style="49" customWidth="1"/>
    <col min="5" max="5" width="114.5546875" style="74" customWidth="1"/>
    <col min="6" max="6" width="6" style="49" customWidth="1"/>
    <col min="7" max="7" width="10.109375" style="49" customWidth="1"/>
    <col min="8" max="8" width="12.109375" style="49" customWidth="1"/>
    <col min="9" max="16" width="14.5546875" style="49" customWidth="1"/>
    <col min="17" max="21" width="13.5546875" style="49" customWidth="1"/>
    <col min="22" max="22" width="10.5546875" style="50" customWidth="1"/>
    <col min="23" max="24" width="9.109375" style="31" customWidth="1"/>
    <col min="25" max="25" width="9.109375" style="31" hidden="1" customWidth="1"/>
    <col min="26" max="27" width="13.109375" style="31" hidden="1" customWidth="1"/>
    <col min="28" max="16384" width="9.109375" style="31" hidden="1"/>
  </cols>
  <sheetData>
    <row r="1" spans="1:24" s="2" customFormat="1" ht="33">
      <c r="A1" s="1"/>
      <c r="B1" s="1"/>
      <c r="C1" s="1"/>
      <c r="D1" s="1"/>
      <c r="E1" s="1" t="s">
        <v>0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3" customFormat="1"/>
    <row r="3" spans="1:24" s="12" customFormat="1" ht="12.75" customHeight="1">
      <c r="A3" s="4"/>
      <c r="B3" s="4"/>
      <c r="C3" s="5"/>
      <c r="D3" s="6"/>
      <c r="E3" s="7" t="s">
        <v>1</v>
      </c>
      <c r="F3" s="8"/>
      <c r="G3" s="8"/>
      <c r="H3" s="8"/>
      <c r="I3" s="9" t="str">
        <f t="shared" ref="I3:U3" si="0">AMP.Years</f>
        <v>2012-13</v>
      </c>
      <c r="J3" s="9" t="str">
        <f t="shared" si="0"/>
        <v>2013-14</v>
      </c>
      <c r="K3" s="9" t="str">
        <f t="shared" si="0"/>
        <v>2014-15</v>
      </c>
      <c r="L3" s="10" t="str">
        <f t="shared" si="0"/>
        <v>2015-16</v>
      </c>
      <c r="M3" s="10" t="str">
        <f t="shared" si="0"/>
        <v>2016-17</v>
      </c>
      <c r="N3" s="10" t="str">
        <f t="shared" si="0"/>
        <v>2017-18</v>
      </c>
      <c r="O3" s="10" t="str">
        <f t="shared" si="0"/>
        <v>2018-19</v>
      </c>
      <c r="P3" s="10" t="str">
        <f t="shared" si="0"/>
        <v>2019-20</v>
      </c>
      <c r="Q3" s="9" t="str">
        <f t="shared" si="0"/>
        <v>2020-21</v>
      </c>
      <c r="R3" s="9" t="str">
        <f t="shared" si="0"/>
        <v>2021-22</v>
      </c>
      <c r="S3" s="9" t="str">
        <f t="shared" si="0"/>
        <v>2022-23</v>
      </c>
      <c r="T3" s="9" t="str">
        <f t="shared" si="0"/>
        <v>2023-24</v>
      </c>
      <c r="U3" s="9" t="str">
        <f t="shared" si="0"/>
        <v>2024-25</v>
      </c>
      <c r="V3" s="11"/>
      <c r="W3" s="11"/>
      <c r="X3" s="11"/>
    </row>
    <row r="4" spans="1:24" s="3" customFormat="1">
      <c r="E4" s="7"/>
    </row>
    <row r="5" spans="1:24" s="12" customFormat="1">
      <c r="A5" s="13"/>
      <c r="B5" s="13"/>
      <c r="C5" s="14"/>
      <c r="D5" s="13"/>
      <c r="E5" s="7" t="s">
        <v>2</v>
      </c>
      <c r="F5" s="13"/>
      <c r="G5" s="13"/>
      <c r="H5" s="13"/>
      <c r="I5" s="13">
        <f t="shared" ref="I5:U5" si="1">Calendar.Years</f>
        <v>2012</v>
      </c>
      <c r="J5" s="13">
        <f t="shared" si="1"/>
        <v>2013</v>
      </c>
      <c r="K5" s="13">
        <f t="shared" si="1"/>
        <v>2014</v>
      </c>
      <c r="L5" s="13">
        <f t="shared" si="1"/>
        <v>2015</v>
      </c>
      <c r="M5" s="13">
        <f t="shared" si="1"/>
        <v>2016</v>
      </c>
      <c r="N5" s="13">
        <f t="shared" si="1"/>
        <v>2017</v>
      </c>
      <c r="O5" s="13">
        <f t="shared" si="1"/>
        <v>2018</v>
      </c>
      <c r="P5" s="13">
        <f t="shared" si="1"/>
        <v>2019</v>
      </c>
      <c r="Q5" s="13">
        <f t="shared" si="1"/>
        <v>2020</v>
      </c>
      <c r="R5" s="13">
        <f t="shared" si="1"/>
        <v>2021</v>
      </c>
      <c r="S5" s="13">
        <f t="shared" si="1"/>
        <v>2022</v>
      </c>
      <c r="T5" s="13">
        <f t="shared" si="1"/>
        <v>2023</v>
      </c>
      <c r="U5" s="13">
        <f t="shared" si="1"/>
        <v>2024</v>
      </c>
      <c r="V5" s="15"/>
      <c r="W5" s="15"/>
      <c r="X5" s="15"/>
    </row>
    <row r="6" spans="1:24" s="12" customFormat="1">
      <c r="A6" s="13"/>
      <c r="B6" s="13"/>
      <c r="C6" s="14"/>
      <c r="D6" s="13"/>
      <c r="E6" s="7" t="s">
        <v>3</v>
      </c>
      <c r="F6" s="13"/>
      <c r="G6" s="13"/>
      <c r="H6" s="13"/>
      <c r="I6" s="16">
        <v>-2</v>
      </c>
      <c r="J6" s="16">
        <v>-1</v>
      </c>
      <c r="K6" s="16">
        <v>0</v>
      </c>
      <c r="L6" s="16">
        <v>1</v>
      </c>
      <c r="M6" s="16">
        <v>2</v>
      </c>
      <c r="N6" s="16">
        <v>3</v>
      </c>
      <c r="O6" s="16">
        <v>4</v>
      </c>
      <c r="P6" s="16">
        <v>5</v>
      </c>
      <c r="Q6" s="16">
        <v>6</v>
      </c>
      <c r="R6" s="16">
        <v>7</v>
      </c>
      <c r="S6" s="16">
        <v>8</v>
      </c>
      <c r="T6" s="16">
        <v>9</v>
      </c>
      <c r="U6" s="16">
        <v>10</v>
      </c>
      <c r="V6" s="15"/>
      <c r="W6" s="15"/>
      <c r="X6" s="15"/>
    </row>
    <row r="7" spans="1:24" s="12" customFormat="1">
      <c r="A7" s="13"/>
      <c r="B7" s="13"/>
      <c r="C7" s="14"/>
      <c r="D7" s="13"/>
      <c r="E7" s="3" t="s">
        <v>245</v>
      </c>
      <c r="F7" s="3"/>
      <c r="G7" s="3"/>
      <c r="H7" s="3"/>
      <c r="I7" s="3"/>
      <c r="J7" s="3"/>
      <c r="K7" s="3"/>
      <c r="L7" s="241">
        <v>4</v>
      </c>
      <c r="M7" s="241">
        <v>3</v>
      </c>
      <c r="N7" s="241">
        <v>2</v>
      </c>
      <c r="O7" s="241">
        <v>1</v>
      </c>
      <c r="P7" s="241">
        <f t="shared" ref="P7" si="2">O7-1</f>
        <v>0</v>
      </c>
      <c r="Q7" s="18"/>
      <c r="R7" s="18"/>
      <c r="S7" s="18"/>
      <c r="T7" s="18"/>
      <c r="U7" s="18"/>
      <c r="V7" s="15"/>
      <c r="W7" s="15"/>
      <c r="X7" s="15"/>
    </row>
    <row r="8" spans="1:24" s="12" customFormat="1">
      <c r="A8" s="13"/>
      <c r="B8" s="13"/>
      <c r="C8" s="14"/>
      <c r="D8" s="13"/>
      <c r="E8" s="3"/>
      <c r="F8" s="3"/>
      <c r="G8" s="3"/>
      <c r="H8" s="3"/>
      <c r="I8" s="3"/>
      <c r="J8" s="3"/>
      <c r="K8" s="3"/>
      <c r="L8" s="241"/>
      <c r="M8" s="241"/>
      <c r="N8" s="241"/>
      <c r="O8" s="241"/>
      <c r="P8" s="241"/>
      <c r="Q8" s="18"/>
      <c r="R8" s="18"/>
      <c r="S8" s="18"/>
      <c r="T8" s="18"/>
      <c r="U8" s="18"/>
      <c r="V8" s="15"/>
      <c r="W8" s="15"/>
      <c r="X8" s="15"/>
    </row>
    <row r="9" spans="1:24" s="23" customFormat="1" ht="13.8">
      <c r="A9" s="19"/>
      <c r="B9" s="20"/>
      <c r="C9" s="20"/>
      <c r="D9" s="21"/>
      <c r="E9" s="22" t="s">
        <v>191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s="12" customFormat="1">
      <c r="A10" s="13"/>
      <c r="B10" s="13"/>
      <c r="C10" s="14"/>
      <c r="D10" s="13"/>
      <c r="E10" s="17"/>
      <c r="F10" s="13"/>
      <c r="G10" s="13"/>
      <c r="H10" s="13"/>
      <c r="I10" s="13"/>
      <c r="J10" s="13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5"/>
      <c r="W10" s="15"/>
      <c r="X10" s="15"/>
    </row>
    <row r="11" spans="1:24" s="12" customFormat="1">
      <c r="A11" s="13"/>
      <c r="B11" s="13"/>
      <c r="C11" s="14"/>
      <c r="D11" s="13" t="s">
        <v>4</v>
      </c>
      <c r="E11" s="17" t="s">
        <v>5</v>
      </c>
      <c r="H11" s="24" t="s">
        <v>373</v>
      </c>
      <c r="I11" s="207" t="s">
        <v>6</v>
      </c>
      <c r="M11" s="18"/>
      <c r="N11" s="18"/>
      <c r="O11" s="18"/>
      <c r="P11" s="18"/>
      <c r="Q11" s="18"/>
      <c r="R11" s="18"/>
      <c r="S11" s="18"/>
      <c r="T11" s="18"/>
      <c r="U11" s="18"/>
      <c r="V11" s="15"/>
      <c r="W11" s="15"/>
      <c r="X11" s="15"/>
    </row>
    <row r="12" spans="1:24" s="12" customFormat="1">
      <c r="A12" s="13"/>
      <c r="B12" s="13"/>
      <c r="C12" s="14"/>
      <c r="D12" s="13" t="s">
        <v>4</v>
      </c>
      <c r="E12" s="17" t="s">
        <v>7</v>
      </c>
      <c r="H12" s="24" t="s">
        <v>374</v>
      </c>
      <c r="I12" s="207" t="s">
        <v>8</v>
      </c>
      <c r="K12" s="25" t="b">
        <f>CompanyType="WoC"</f>
        <v>1</v>
      </c>
      <c r="M12" s="208" t="s">
        <v>9</v>
      </c>
      <c r="N12" s="18"/>
      <c r="O12" s="18"/>
      <c r="P12" s="18"/>
      <c r="Q12" s="18"/>
      <c r="R12" s="18"/>
      <c r="S12" s="18"/>
      <c r="T12" s="18"/>
      <c r="U12" s="18"/>
      <c r="V12" s="15"/>
      <c r="W12" s="15"/>
      <c r="X12" s="15"/>
    </row>
    <row r="13" spans="1:24" s="12" customFormat="1">
      <c r="A13" s="13"/>
      <c r="B13" s="13"/>
      <c r="C13" s="14"/>
      <c r="D13" s="13" t="s">
        <v>4</v>
      </c>
      <c r="E13" s="17" t="s">
        <v>10</v>
      </c>
      <c r="H13" s="24" t="s">
        <v>363</v>
      </c>
      <c r="I13" s="207" t="s">
        <v>11</v>
      </c>
      <c r="K13" s="25" t="b">
        <f>CompanyEnhanced="Yes"</f>
        <v>0</v>
      </c>
      <c r="M13" s="208" t="s">
        <v>12</v>
      </c>
      <c r="N13" s="18"/>
      <c r="O13" s="18"/>
      <c r="P13" s="18"/>
      <c r="Q13" s="18"/>
      <c r="R13" s="18"/>
      <c r="S13" s="18"/>
      <c r="T13" s="18"/>
      <c r="U13" s="18"/>
      <c r="V13" s="15"/>
      <c r="W13" s="15"/>
      <c r="X13" s="15"/>
    </row>
    <row r="14" spans="1:24" s="12" customFormat="1">
      <c r="A14" s="13"/>
      <c r="B14" s="13"/>
      <c r="C14" s="14"/>
      <c r="D14" s="13"/>
      <c r="E14" s="17"/>
      <c r="F14" s="13"/>
      <c r="G14" s="13"/>
      <c r="H14" s="13"/>
      <c r="I14" s="13"/>
      <c r="J14" s="13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5"/>
      <c r="W14" s="15"/>
      <c r="X14" s="15"/>
    </row>
    <row r="15" spans="1:24" s="12" customFormat="1">
      <c r="A15" s="13"/>
      <c r="B15" s="13"/>
      <c r="C15" s="14"/>
      <c r="D15" s="13" t="s">
        <v>72</v>
      </c>
      <c r="E15" s="17" t="s">
        <v>193</v>
      </c>
      <c r="F15" s="13"/>
      <c r="G15" s="13"/>
      <c r="H15" s="217">
        <v>3.5999999999999997E-2</v>
      </c>
      <c r="I15" s="207" t="s">
        <v>184</v>
      </c>
      <c r="J15" s="13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5"/>
      <c r="W15" s="15"/>
      <c r="X15" s="15"/>
    </row>
    <row r="16" spans="1:24" s="12" customFormat="1">
      <c r="A16" s="13"/>
      <c r="B16" s="13"/>
      <c r="C16" s="14"/>
      <c r="D16" s="13"/>
      <c r="E16" s="17"/>
      <c r="F16" s="13"/>
      <c r="G16" s="13"/>
      <c r="H16" s="13"/>
      <c r="I16" s="13"/>
      <c r="J16" s="13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5"/>
      <c r="W16" s="15"/>
      <c r="X16" s="15"/>
    </row>
    <row r="17" spans="1:27" s="23" customFormat="1" ht="13.8">
      <c r="A17" s="19"/>
      <c r="B17" s="20"/>
      <c r="C17" s="20"/>
      <c r="D17" s="21"/>
      <c r="E17" s="22" t="s">
        <v>237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7" s="3" customFormat="1"/>
    <row r="19" spans="1:27" s="23" customFormat="1" ht="13.8">
      <c r="A19" s="19"/>
      <c r="B19" s="20"/>
      <c r="C19" s="20"/>
      <c r="D19" s="21"/>
      <c r="E19" s="22" t="s">
        <v>238</v>
      </c>
      <c r="F19" s="220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7" s="233" customFormat="1" ht="13.8">
      <c r="A20" s="234"/>
      <c r="B20" s="234"/>
      <c r="C20" s="234"/>
      <c r="D20" s="235"/>
      <c r="E20" s="236"/>
      <c r="F20" s="237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</row>
    <row r="21" spans="1:27" s="3" customFormat="1">
      <c r="E21" s="127" t="s">
        <v>247</v>
      </c>
    </row>
    <row r="22" spans="1:27" s="262" customFormat="1">
      <c r="A22" s="118"/>
      <c r="B22" s="118"/>
      <c r="C22" s="118"/>
      <c r="D22" s="118" t="s">
        <v>85</v>
      </c>
      <c r="E22" s="118" t="s">
        <v>352</v>
      </c>
      <c r="F22" s="118"/>
      <c r="G22" s="118"/>
      <c r="H22" s="37">
        <v>103.2</v>
      </c>
      <c r="I22" s="126" t="s">
        <v>283</v>
      </c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</row>
    <row r="23" spans="1:27" s="262" customFormat="1">
      <c r="A23" s="118"/>
      <c r="B23" s="118"/>
      <c r="C23" s="118"/>
      <c r="D23" s="118" t="s">
        <v>85</v>
      </c>
      <c r="E23" s="118" t="s">
        <v>353</v>
      </c>
      <c r="F23" s="118"/>
      <c r="G23" s="118"/>
      <c r="H23" s="37">
        <v>100</v>
      </c>
      <c r="I23" s="126" t="s">
        <v>284</v>
      </c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</row>
    <row r="24" spans="1:27" s="262" customFormat="1">
      <c r="A24" s="118"/>
      <c r="B24" s="118"/>
      <c r="C24" s="118"/>
      <c r="D24" s="118"/>
      <c r="E24" s="118"/>
      <c r="F24" s="126"/>
      <c r="G24" s="126"/>
      <c r="H24" s="126"/>
      <c r="I24" s="126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</row>
    <row r="25" spans="1:27" s="262" customFormat="1">
      <c r="A25" s="118"/>
      <c r="B25" s="118"/>
      <c r="C25" s="118"/>
      <c r="D25" s="118"/>
      <c r="E25" s="280" t="s">
        <v>319</v>
      </c>
      <c r="F25" s="35"/>
      <c r="G25" s="118"/>
      <c r="H25" s="126"/>
      <c r="I25" s="126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</row>
    <row r="26" spans="1:27" s="262" customFormat="1">
      <c r="A26" s="118"/>
      <c r="B26" s="118"/>
      <c r="C26" s="118"/>
      <c r="D26" s="118" t="s">
        <v>85</v>
      </c>
      <c r="E26" s="118" t="s">
        <v>325</v>
      </c>
      <c r="F26" s="35" t="s">
        <v>14</v>
      </c>
      <c r="G26" s="118"/>
      <c r="H26" s="126"/>
      <c r="I26" s="126"/>
      <c r="J26" s="118"/>
      <c r="K26" s="118"/>
      <c r="L26" s="37">
        <v>1.35661743356896</v>
      </c>
      <c r="M26" s="37">
        <v>1.35661743356896</v>
      </c>
      <c r="N26" s="37">
        <v>1.35661743356896</v>
      </c>
      <c r="O26" s="37">
        <v>1.35661743356896</v>
      </c>
      <c r="P26" s="37">
        <v>1.35661743356896</v>
      </c>
      <c r="Q26" s="116" t="s">
        <v>317</v>
      </c>
      <c r="R26" s="118"/>
      <c r="S26" s="118"/>
      <c r="T26" s="118"/>
      <c r="U26" s="118"/>
      <c r="V26" s="118"/>
      <c r="W26" s="118"/>
      <c r="X26" s="118"/>
    </row>
    <row r="27" spans="1:27" s="262" customFormat="1">
      <c r="A27" s="118"/>
      <c r="B27" s="118"/>
      <c r="C27" s="118"/>
      <c r="D27" s="118" t="s">
        <v>85</v>
      </c>
      <c r="E27" s="118" t="s">
        <v>326</v>
      </c>
      <c r="F27" s="35" t="s">
        <v>14</v>
      </c>
      <c r="G27" s="118"/>
      <c r="H27" s="126"/>
      <c r="I27" s="126"/>
      <c r="J27" s="118"/>
      <c r="K27" s="118"/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116" t="s">
        <v>318</v>
      </c>
      <c r="R27" s="118"/>
      <c r="S27" s="118"/>
      <c r="T27" s="118"/>
      <c r="U27" s="118"/>
      <c r="V27" s="118"/>
      <c r="W27" s="118"/>
      <c r="X27" s="118"/>
    </row>
    <row r="28" spans="1:27" s="262" customFormat="1">
      <c r="A28" s="118"/>
      <c r="B28" s="118"/>
      <c r="C28" s="118"/>
      <c r="D28" s="118"/>
      <c r="E28" s="118"/>
      <c r="F28" s="35"/>
      <c r="G28" s="118"/>
      <c r="H28" s="126"/>
      <c r="I28" s="126"/>
      <c r="J28" s="118"/>
      <c r="K28" s="118"/>
      <c r="L28" s="281"/>
      <c r="M28" s="281"/>
      <c r="N28" s="281"/>
      <c r="O28" s="281"/>
      <c r="P28" s="281"/>
      <c r="Q28" s="116"/>
      <c r="R28" s="118"/>
      <c r="S28" s="118"/>
      <c r="T28" s="118"/>
      <c r="U28" s="118"/>
      <c r="V28" s="118"/>
      <c r="W28" s="118"/>
      <c r="X28" s="118"/>
    </row>
    <row r="29" spans="1:27" s="23" customFormat="1" ht="13.8">
      <c r="A29" s="19"/>
      <c r="B29" s="20"/>
      <c r="C29" s="20"/>
      <c r="D29" s="21"/>
      <c r="E29" s="22" t="s">
        <v>239</v>
      </c>
      <c r="F29" s="220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7" s="233" customFormat="1" ht="12.75" customHeight="1">
      <c r="A30" s="234"/>
      <c r="B30" s="234"/>
      <c r="C30" s="234"/>
      <c r="D30" s="235"/>
      <c r="E30" s="236"/>
      <c r="F30" s="237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</row>
    <row r="31" spans="1:27" s="12" customFormat="1" ht="12" customHeight="1">
      <c r="A31" s="47"/>
      <c r="B31" s="47"/>
      <c r="C31" s="48"/>
      <c r="D31" s="3"/>
      <c r="E31" s="127" t="s">
        <v>246</v>
      </c>
      <c r="F31" s="3"/>
      <c r="G31" s="3"/>
      <c r="H31" s="3"/>
      <c r="I31" s="3"/>
      <c r="J31" s="47"/>
      <c r="K31" s="47"/>
      <c r="R31" s="49"/>
      <c r="S31" s="49"/>
      <c r="T31" s="49"/>
      <c r="U31" s="49"/>
      <c r="V31" s="50"/>
      <c r="W31" s="31"/>
      <c r="X31" s="31"/>
      <c r="Y31" s="31"/>
      <c r="Z31" s="31"/>
      <c r="AA31" s="31"/>
    </row>
    <row r="32" spans="1:27" s="12" customFormat="1">
      <c r="A32" s="47"/>
      <c r="B32" s="47"/>
      <c r="C32" s="48"/>
      <c r="D32" s="3" t="s">
        <v>85</v>
      </c>
      <c r="E32" s="118" t="s">
        <v>355</v>
      </c>
      <c r="F32" s="3"/>
      <c r="G32" s="3"/>
      <c r="H32" s="37">
        <v>103.2</v>
      </c>
      <c r="I32" s="126" t="s">
        <v>86</v>
      </c>
      <c r="J32" s="47"/>
      <c r="K32" s="47"/>
      <c r="R32" s="49"/>
      <c r="S32" s="49"/>
      <c r="T32" s="49"/>
      <c r="U32" s="49"/>
      <c r="V32" s="50"/>
      <c r="W32" s="31"/>
      <c r="X32" s="31"/>
      <c r="Y32" s="31"/>
      <c r="Z32" s="31"/>
      <c r="AA32" s="31"/>
    </row>
    <row r="33" spans="1:27" s="12" customFormat="1">
      <c r="A33" s="47"/>
      <c r="B33" s="47"/>
      <c r="C33" s="48"/>
      <c r="D33" s="3" t="s">
        <v>85</v>
      </c>
      <c r="E33" s="118" t="s">
        <v>354</v>
      </c>
      <c r="F33" s="3"/>
      <c r="G33" s="3"/>
      <c r="H33" s="37">
        <v>100</v>
      </c>
      <c r="I33" s="126" t="s">
        <v>87</v>
      </c>
      <c r="J33" s="47"/>
      <c r="K33" s="47"/>
      <c r="L33" s="47"/>
      <c r="M33" s="47"/>
      <c r="N33" s="47"/>
      <c r="O33" s="47"/>
      <c r="P33" s="47"/>
      <c r="Q33" s="47"/>
      <c r="R33" s="49"/>
      <c r="S33" s="49"/>
      <c r="T33" s="49"/>
      <c r="U33" s="49"/>
      <c r="V33" s="50"/>
      <c r="W33" s="31"/>
      <c r="X33" s="31"/>
      <c r="Y33" s="31"/>
      <c r="Z33" s="31"/>
      <c r="AA33" s="31"/>
    </row>
    <row r="34" spans="1:27" s="12" customFormat="1">
      <c r="A34" s="47"/>
      <c r="B34" s="47"/>
      <c r="C34" s="48"/>
      <c r="D34" s="47"/>
      <c r="E34" s="52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9"/>
      <c r="S34" s="49"/>
      <c r="T34" s="49"/>
      <c r="U34" s="49"/>
      <c r="V34" s="50"/>
      <c r="W34" s="31"/>
      <c r="X34" s="31"/>
      <c r="Y34" s="31"/>
      <c r="Z34" s="31"/>
      <c r="AA34" s="31"/>
    </row>
    <row r="35" spans="1:27" s="23" customFormat="1" ht="13.8">
      <c r="A35" s="19"/>
      <c r="B35" s="20"/>
      <c r="C35" s="20"/>
      <c r="D35" s="21"/>
      <c r="E35" s="22" t="s">
        <v>192</v>
      </c>
      <c r="F35" s="220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7" s="233" customFormat="1" ht="13.8">
      <c r="A36" s="228"/>
      <c r="B36" s="229"/>
      <c r="C36" s="229"/>
      <c r="D36" s="230"/>
      <c r="E36" s="231"/>
      <c r="F36" s="232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</row>
    <row r="37" spans="1:27" s="23" customFormat="1" ht="13.8">
      <c r="A37" s="19"/>
      <c r="B37" s="20"/>
      <c r="C37" s="20"/>
      <c r="D37" s="21"/>
      <c r="E37" s="22" t="s">
        <v>248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7" s="12" customFormat="1">
      <c r="A38" s="26"/>
      <c r="B38" s="26"/>
      <c r="C38" s="27"/>
      <c r="D38" s="26"/>
      <c r="E38" s="28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43"/>
      <c r="W38" s="31"/>
      <c r="X38" s="31"/>
      <c r="Y38" s="31"/>
      <c r="Z38" s="31"/>
      <c r="AA38" s="31"/>
    </row>
    <row r="39" spans="1:27" s="12" customFormat="1">
      <c r="A39" s="26"/>
      <c r="B39" s="26"/>
      <c r="C39" s="27"/>
      <c r="D39" s="26"/>
      <c r="E39" s="28" t="s">
        <v>198</v>
      </c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43"/>
      <c r="W39" s="31"/>
      <c r="X39" s="31"/>
      <c r="Y39" s="31"/>
      <c r="Z39" s="31"/>
      <c r="AA39" s="31"/>
    </row>
    <row r="40" spans="1:27" s="12" customFormat="1">
      <c r="A40" s="33"/>
      <c r="B40" s="33"/>
      <c r="C40" s="32"/>
      <c r="D40" s="33" t="s">
        <v>13</v>
      </c>
      <c r="E40" s="34" t="s">
        <v>264</v>
      </c>
      <c r="F40" s="35" t="s">
        <v>14</v>
      </c>
      <c r="G40" s="44"/>
      <c r="H40" s="44"/>
      <c r="I40" s="36"/>
      <c r="J40" s="36"/>
      <c r="K40" s="36"/>
      <c r="L40" s="37">
        <v>76.170970085937299</v>
      </c>
      <c r="M40" s="37">
        <v>76.898373249898199</v>
      </c>
      <c r="N40" s="37">
        <v>77.186906725718401</v>
      </c>
      <c r="O40" s="37">
        <v>77.327905285099803</v>
      </c>
      <c r="P40" s="37">
        <v>76.278353094737696</v>
      </c>
      <c r="Q40" s="116" t="s">
        <v>306</v>
      </c>
      <c r="R40" s="36"/>
      <c r="S40" s="36"/>
      <c r="T40" s="36"/>
      <c r="U40" s="36"/>
      <c r="V40" s="39"/>
      <c r="W40" s="31"/>
      <c r="X40" s="31"/>
      <c r="Y40" s="31"/>
      <c r="Z40" s="31"/>
      <c r="AA40" s="31"/>
    </row>
    <row r="41" spans="1:27" s="12" customFormat="1">
      <c r="A41" s="26"/>
      <c r="B41" s="26"/>
      <c r="C41" s="32"/>
      <c r="D41" s="33" t="s">
        <v>13</v>
      </c>
      <c r="E41" s="34" t="s">
        <v>265</v>
      </c>
      <c r="F41" s="35" t="s">
        <v>14</v>
      </c>
      <c r="G41" s="29"/>
      <c r="H41" s="29"/>
      <c r="I41" s="36"/>
      <c r="J41" s="36"/>
      <c r="K41" s="36"/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116" t="s">
        <v>307</v>
      </c>
      <c r="R41" s="29"/>
      <c r="S41" s="29"/>
      <c r="T41" s="29"/>
      <c r="U41" s="29"/>
      <c r="V41" s="39"/>
      <c r="W41" s="31"/>
      <c r="X41" s="31"/>
      <c r="Y41" s="31"/>
      <c r="Z41" s="31"/>
      <c r="AA41" s="31"/>
    </row>
    <row r="42" spans="1:27" s="12" customFormat="1">
      <c r="A42" s="26"/>
      <c r="B42" s="26"/>
      <c r="C42" s="32"/>
      <c r="D42" s="33"/>
      <c r="E42" s="40"/>
      <c r="F42" s="29"/>
      <c r="G42" s="29"/>
      <c r="H42" s="29"/>
      <c r="I42" s="36"/>
      <c r="J42" s="36"/>
      <c r="K42" s="36"/>
      <c r="L42" s="29"/>
      <c r="M42" s="29"/>
      <c r="N42" s="29"/>
      <c r="O42" s="29"/>
      <c r="P42" s="29"/>
      <c r="R42" s="29"/>
      <c r="S42" s="29"/>
      <c r="T42" s="29"/>
      <c r="U42" s="29"/>
      <c r="V42" s="39"/>
      <c r="W42" s="31"/>
      <c r="X42" s="31"/>
      <c r="Y42" s="31"/>
      <c r="Z42" s="31"/>
      <c r="AA42" s="31"/>
    </row>
    <row r="43" spans="1:27" s="267" customFormat="1" ht="15.75" customHeight="1">
      <c r="A43" s="264"/>
      <c r="B43" s="265"/>
      <c r="C43" s="265"/>
      <c r="D43" s="266"/>
      <c r="E43" s="273" t="s">
        <v>345</v>
      </c>
      <c r="F43" s="266"/>
      <c r="G43" s="266"/>
      <c r="H43" s="266"/>
      <c r="I43" s="266"/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266"/>
      <c r="U43" s="266"/>
      <c r="V43" s="266"/>
      <c r="W43" s="266"/>
      <c r="X43" s="266"/>
    </row>
    <row r="44" spans="1:27" s="12" customFormat="1">
      <c r="A44" s="26"/>
      <c r="B44" s="26"/>
      <c r="C44" s="46"/>
      <c r="D44" s="26"/>
      <c r="E44" s="28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53"/>
      <c r="R44" s="54"/>
      <c r="S44" s="54"/>
      <c r="T44" s="54"/>
      <c r="U44" s="26"/>
      <c r="V44" s="43"/>
      <c r="W44" s="31"/>
      <c r="X44" s="31"/>
      <c r="Y44" s="31"/>
      <c r="Z44" s="31"/>
      <c r="AA44" s="31"/>
    </row>
    <row r="45" spans="1:27" s="12" customFormat="1">
      <c r="A45" s="26"/>
      <c r="B45" s="26"/>
      <c r="C45" s="46"/>
      <c r="D45" s="26"/>
      <c r="E45" s="28" t="s">
        <v>346</v>
      </c>
      <c r="F45" s="26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53"/>
      <c r="R45" s="54"/>
      <c r="S45" s="54"/>
      <c r="T45" s="54"/>
      <c r="U45" s="26"/>
      <c r="V45" s="43"/>
      <c r="W45" s="31"/>
      <c r="X45" s="31"/>
      <c r="Y45" s="31"/>
      <c r="Z45" s="31"/>
      <c r="AA45" s="31"/>
    </row>
    <row r="46" spans="1:27" s="278" customFormat="1">
      <c r="A46" s="26"/>
      <c r="B46" s="26"/>
      <c r="C46" s="46"/>
      <c r="D46" s="33" t="s">
        <v>13</v>
      </c>
      <c r="E46" s="34" t="s">
        <v>347</v>
      </c>
      <c r="F46" s="35" t="s">
        <v>14</v>
      </c>
      <c r="G46" s="42"/>
      <c r="H46" s="240"/>
      <c r="I46" s="42"/>
      <c r="J46" s="42"/>
      <c r="K46" s="42"/>
      <c r="L46" s="37">
        <v>78.446612498546898</v>
      </c>
      <c r="M46" s="37">
        <v>79.106460511086283</v>
      </c>
      <c r="N46" s="37">
        <v>79.397335691717245</v>
      </c>
      <c r="O46" s="37">
        <v>79.539478579339772</v>
      </c>
      <c r="P46" s="37">
        <v>78.482413302341087</v>
      </c>
      <c r="Q46" s="116" t="s">
        <v>240</v>
      </c>
      <c r="R46" s="54"/>
      <c r="S46" s="54"/>
      <c r="T46" s="54"/>
      <c r="U46" s="26"/>
      <c r="V46" s="43"/>
      <c r="W46" s="34"/>
      <c r="X46" s="31"/>
      <c r="Y46" s="279"/>
      <c r="Z46" s="279"/>
      <c r="AA46" s="279"/>
    </row>
    <row r="47" spans="1:27" s="278" customFormat="1">
      <c r="A47" s="26"/>
      <c r="B47" s="26"/>
      <c r="C47" s="46"/>
      <c r="D47" s="33" t="s">
        <v>13</v>
      </c>
      <c r="E47" s="34" t="s">
        <v>348</v>
      </c>
      <c r="F47" s="35" t="s">
        <v>14</v>
      </c>
      <c r="G47" s="42"/>
      <c r="H47" s="240"/>
      <c r="I47" s="42"/>
      <c r="J47" s="42"/>
      <c r="K47" s="42"/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116" t="s">
        <v>241</v>
      </c>
      <c r="R47" s="54"/>
      <c r="S47" s="54"/>
      <c r="T47" s="54"/>
      <c r="U47" s="26"/>
      <c r="V47" s="43"/>
      <c r="W47" s="34"/>
      <c r="X47" s="31"/>
      <c r="Y47" s="279"/>
      <c r="Z47" s="279"/>
      <c r="AA47" s="279"/>
    </row>
    <row r="48" spans="1:27" s="12" customFormat="1">
      <c r="A48" s="33"/>
      <c r="B48" s="33"/>
      <c r="C48" s="32"/>
      <c r="D48" s="33"/>
      <c r="E48" s="41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1"/>
      <c r="S48" s="31"/>
      <c r="T48" s="31"/>
      <c r="U48" s="31"/>
      <c r="V48" s="57"/>
      <c r="W48" s="31"/>
      <c r="X48" s="31"/>
      <c r="Y48" s="31"/>
      <c r="Z48" s="31"/>
      <c r="AA48" s="31"/>
    </row>
    <row r="49" spans="1:27" s="23" customFormat="1" ht="13.8">
      <c r="A49" s="19"/>
      <c r="B49" s="20"/>
      <c r="C49" s="20"/>
      <c r="D49" s="21"/>
      <c r="E49" s="22" t="s">
        <v>236</v>
      </c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7" s="12" customFormat="1">
      <c r="A50" s="26"/>
      <c r="B50" s="26"/>
      <c r="C50" s="46"/>
      <c r="D50" s="26"/>
      <c r="E50" s="28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53"/>
      <c r="R50" s="54"/>
      <c r="S50" s="54"/>
      <c r="T50" s="54"/>
      <c r="U50" s="26"/>
      <c r="V50" s="43"/>
      <c r="W50" s="31"/>
      <c r="X50" s="31"/>
      <c r="Y50" s="31"/>
      <c r="Z50" s="31"/>
      <c r="AA50" s="31"/>
    </row>
    <row r="51" spans="1:27" s="12" customFormat="1">
      <c r="A51" s="26"/>
      <c r="B51" s="26"/>
      <c r="C51" s="46"/>
      <c r="D51" s="26"/>
      <c r="E51" s="28" t="s">
        <v>206</v>
      </c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53"/>
      <c r="R51" s="54"/>
      <c r="S51" s="54"/>
      <c r="T51" s="54"/>
      <c r="U51" s="26"/>
      <c r="V51" s="43"/>
      <c r="W51" s="31"/>
      <c r="X51" s="31"/>
      <c r="Y51" s="31"/>
      <c r="Z51" s="31"/>
      <c r="AA51" s="31"/>
    </row>
    <row r="52" spans="1:27" s="12" customFormat="1">
      <c r="A52" s="26"/>
      <c r="B52" s="26"/>
      <c r="C52" s="46"/>
      <c r="D52" s="33" t="s">
        <v>13</v>
      </c>
      <c r="E52" s="34" t="s">
        <v>207</v>
      </c>
      <c r="F52" s="35" t="s">
        <v>15</v>
      </c>
      <c r="G52" s="42"/>
      <c r="H52" s="240"/>
      <c r="I52" s="42"/>
      <c r="J52" s="42"/>
      <c r="K52" s="42"/>
      <c r="L52" s="37">
        <f>'[2]Up to date Summay'!B112</f>
        <v>80.162509204557892</v>
      </c>
      <c r="M52" s="37">
        <f>'[2]Up to date Summay'!C112</f>
        <v>85.61783658200001</v>
      </c>
      <c r="N52" s="37">
        <f>'[2]Up to date Summay'!D112</f>
        <v>95.271477186577016</v>
      </c>
      <c r="O52" s="37">
        <f>'[3]18-19 totex'!$B$17</f>
        <v>96.806999999999988</v>
      </c>
      <c r="P52" s="37">
        <f>[4]Budget!$F$4</f>
        <v>95.493718000144668</v>
      </c>
      <c r="Q52" s="116" t="s">
        <v>81</v>
      </c>
      <c r="R52" s="54"/>
      <c r="S52" s="54"/>
      <c r="T52" s="54"/>
      <c r="U52" s="26"/>
      <c r="V52" s="43"/>
      <c r="W52" s="31"/>
      <c r="X52" s="31"/>
      <c r="Y52" s="31"/>
      <c r="Z52" s="31"/>
      <c r="AA52" s="31"/>
    </row>
    <row r="53" spans="1:27" s="12" customFormat="1">
      <c r="A53" s="26"/>
      <c r="B53" s="26"/>
      <c r="C53" s="46"/>
      <c r="D53" s="33" t="s">
        <v>13</v>
      </c>
      <c r="E53" s="34" t="s">
        <v>208</v>
      </c>
      <c r="F53" s="35" t="s">
        <v>15</v>
      </c>
      <c r="G53" s="42"/>
      <c r="H53" s="240"/>
      <c r="I53" s="42"/>
      <c r="J53" s="42"/>
      <c r="K53" s="42"/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116" t="s">
        <v>83</v>
      </c>
      <c r="R53" s="54"/>
      <c r="S53" s="54"/>
      <c r="T53" s="54"/>
      <c r="U53" s="26"/>
      <c r="V53" s="43"/>
      <c r="W53" s="31"/>
      <c r="X53" s="31"/>
      <c r="Y53" s="31"/>
      <c r="Z53" s="31"/>
      <c r="AA53" s="31"/>
    </row>
    <row r="54" spans="1:27">
      <c r="A54" s="26"/>
      <c r="B54" s="26"/>
      <c r="C54" s="27"/>
      <c r="D54" s="26"/>
      <c r="E54" s="28"/>
      <c r="F54" s="26"/>
      <c r="G54" s="26"/>
      <c r="H54" s="26"/>
      <c r="I54" s="26"/>
      <c r="J54" s="26"/>
      <c r="K54" s="26"/>
      <c r="L54" s="276"/>
      <c r="M54" s="26"/>
      <c r="N54" s="26"/>
      <c r="O54" s="26"/>
      <c r="P54" s="26"/>
      <c r="Q54" s="26"/>
      <c r="R54" s="29"/>
      <c r="S54" s="29"/>
      <c r="T54" s="29"/>
      <c r="U54" s="29"/>
      <c r="V54" s="30"/>
      <c r="W54" s="30"/>
      <c r="X54" s="30"/>
      <c r="Y54" s="30"/>
      <c r="Z54" s="30"/>
      <c r="AA54" s="30"/>
    </row>
    <row r="55" spans="1:27" s="23" customFormat="1" ht="13.8">
      <c r="A55" s="19"/>
      <c r="B55" s="20"/>
      <c r="C55" s="20"/>
      <c r="D55" s="21"/>
      <c r="E55" s="22" t="s">
        <v>199</v>
      </c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7" s="12" customFormat="1">
      <c r="A56" s="47"/>
      <c r="B56" s="47"/>
      <c r="C56" s="48"/>
      <c r="D56" s="47"/>
      <c r="E56" s="52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9"/>
      <c r="R56" s="49"/>
      <c r="S56" s="49"/>
      <c r="T56" s="49"/>
      <c r="U56" s="49"/>
      <c r="V56" s="50"/>
      <c r="W56" s="31"/>
      <c r="X56" s="31"/>
      <c r="Y56" s="31"/>
      <c r="Z56" s="31"/>
      <c r="AA56" s="31"/>
    </row>
    <row r="57" spans="1:27" s="23" customFormat="1" ht="13.8">
      <c r="A57" s="19"/>
      <c r="B57" s="20"/>
      <c r="C57" s="20"/>
      <c r="D57" s="21"/>
      <c r="E57" s="22" t="s">
        <v>305</v>
      </c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7" s="233" customFormat="1" ht="13.8">
      <c r="A58" s="234"/>
      <c r="B58" s="234"/>
      <c r="C58" s="234"/>
      <c r="D58" s="235"/>
      <c r="E58" s="236"/>
      <c r="F58" s="235"/>
      <c r="G58" s="235"/>
      <c r="H58" s="235"/>
      <c r="I58" s="235"/>
      <c r="J58" s="235"/>
      <c r="K58" s="235"/>
      <c r="L58" s="235"/>
      <c r="M58" s="235"/>
      <c r="N58" s="235"/>
      <c r="O58" s="235"/>
      <c r="P58" s="235"/>
      <c r="Q58" s="235"/>
      <c r="R58" s="235"/>
      <c r="S58" s="235"/>
      <c r="T58" s="235"/>
      <c r="U58" s="235"/>
      <c r="V58" s="235"/>
      <c r="W58" s="235"/>
      <c r="X58" s="235"/>
    </row>
    <row r="59" spans="1:27" s="12" customFormat="1">
      <c r="A59" s="47"/>
      <c r="B59" s="47"/>
      <c r="C59" s="32"/>
      <c r="D59" s="33"/>
      <c r="E59" s="123" t="s">
        <v>260</v>
      </c>
      <c r="F59" s="33"/>
      <c r="G59" s="47"/>
      <c r="H59" s="47"/>
      <c r="I59" s="47"/>
      <c r="J59" s="47"/>
      <c r="K59" s="56"/>
      <c r="L59" s="47"/>
      <c r="M59" s="47"/>
      <c r="N59" s="47"/>
      <c r="O59" s="47"/>
      <c r="P59" s="47"/>
      <c r="Q59" s="49"/>
      <c r="R59" s="49"/>
      <c r="S59" s="49"/>
      <c r="T59" s="49"/>
      <c r="U59" s="49"/>
      <c r="V59" s="57"/>
      <c r="W59" s="31"/>
      <c r="X59" s="31"/>
      <c r="Y59" s="31"/>
      <c r="Z59" s="31"/>
      <c r="AA59" s="31"/>
    </row>
    <row r="60" spans="1:27" s="12" customFormat="1">
      <c r="A60" s="47"/>
      <c r="B60" s="47"/>
      <c r="C60" s="32"/>
      <c r="D60" s="33" t="s">
        <v>13</v>
      </c>
      <c r="E60" s="34" t="s">
        <v>211</v>
      </c>
      <c r="F60" s="35" t="s">
        <v>15</v>
      </c>
      <c r="G60" s="47"/>
      <c r="H60" s="47"/>
      <c r="I60" s="47"/>
      <c r="J60" s="47"/>
      <c r="K60" s="56"/>
      <c r="L60" s="37">
        <f>'[2]Up to date Summay'!B115</f>
        <v>1.5697266316269769</v>
      </c>
      <c r="M60" s="37">
        <f>'[2]Up to date Summay'!C115</f>
        <v>1.679</v>
      </c>
      <c r="N60" s="37">
        <f>'[2]Up to date Summay'!D115</f>
        <v>1.4111974161360286</v>
      </c>
      <c r="O60" s="37">
        <f>'[3]Menu exclusions'!$E$31</f>
        <v>2.1280000000000001</v>
      </c>
      <c r="P60" s="37">
        <f>'[2]Up to date Summay'!F115</f>
        <v>1.6233227459346213</v>
      </c>
      <c r="Q60" s="49"/>
      <c r="R60" s="49"/>
      <c r="S60" s="49"/>
      <c r="T60" s="49"/>
      <c r="U60" s="49"/>
      <c r="V60" s="57"/>
      <c r="W60" s="31"/>
      <c r="X60" s="31"/>
      <c r="Y60" s="31"/>
      <c r="Z60" s="31"/>
      <c r="AA60" s="31"/>
    </row>
    <row r="61" spans="1:27" s="12" customFormat="1">
      <c r="A61" s="47"/>
      <c r="B61" s="47"/>
      <c r="C61" s="32"/>
      <c r="D61" s="33" t="s">
        <v>13</v>
      </c>
      <c r="E61" s="34" t="s">
        <v>212</v>
      </c>
      <c r="F61" s="35" t="s">
        <v>15</v>
      </c>
      <c r="G61" s="47"/>
      <c r="H61" s="47"/>
      <c r="I61" s="47"/>
      <c r="J61" s="47"/>
      <c r="K61" s="56"/>
      <c r="L61" s="37">
        <f>IF('[2]Up to date Summay'!$J$136="on",'[2]Up to date Summay'!J137,0)</f>
        <v>0</v>
      </c>
      <c r="M61" s="37">
        <v>0</v>
      </c>
      <c r="N61" s="37">
        <v>0</v>
      </c>
      <c r="O61" s="37">
        <v>0</v>
      </c>
      <c r="P61" s="37">
        <v>0</v>
      </c>
      <c r="Q61" s="38"/>
      <c r="R61" s="49"/>
      <c r="S61" s="49"/>
      <c r="T61" s="49"/>
      <c r="U61" s="49"/>
      <c r="V61" s="57"/>
      <c r="W61" s="31"/>
      <c r="X61" s="31"/>
      <c r="Y61" s="31"/>
      <c r="Z61" s="31"/>
      <c r="AA61" s="31"/>
    </row>
    <row r="62" spans="1:27" s="12" customFormat="1">
      <c r="A62" s="47"/>
      <c r="B62" s="47"/>
      <c r="C62" s="32"/>
      <c r="D62" s="33" t="s">
        <v>13</v>
      </c>
      <c r="E62" s="34" t="s">
        <v>323</v>
      </c>
      <c r="F62" s="35" t="s">
        <v>15</v>
      </c>
      <c r="G62" s="47"/>
      <c r="H62" s="47"/>
      <c r="I62" s="47"/>
      <c r="J62" s="47"/>
      <c r="K62" s="56"/>
      <c r="L62" s="37">
        <f>'[2]Up to date Summay'!B114</f>
        <v>1.6419999999999999</v>
      </c>
      <c r="M62" s="37">
        <f>'[2]Up to date Summay'!C114</f>
        <v>1.6020000000000001</v>
      </c>
      <c r="N62" s="37">
        <f>'[2]Up to date Summay'!D114</f>
        <v>1.8049999999999999</v>
      </c>
      <c r="O62" s="37">
        <f>'[3]Menu exclusions'!$E$30</f>
        <v>1.08</v>
      </c>
      <c r="P62" s="37">
        <f>'[2]Up to date Summay'!F114</f>
        <v>1.1187256638905554</v>
      </c>
      <c r="Q62" s="38" t="s">
        <v>310</v>
      </c>
      <c r="R62" s="49"/>
      <c r="S62" s="49"/>
      <c r="T62" s="49"/>
      <c r="U62" s="49"/>
      <c r="V62" s="57"/>
      <c r="W62" s="31"/>
      <c r="X62" s="31"/>
      <c r="Y62" s="31"/>
      <c r="Z62" s="31"/>
      <c r="AA62" s="31"/>
    </row>
    <row r="63" spans="1:27" s="12" customFormat="1">
      <c r="A63" s="47"/>
      <c r="B63" s="47"/>
      <c r="C63" s="32"/>
      <c r="D63" s="33" t="s">
        <v>13</v>
      </c>
      <c r="E63" s="34" t="s">
        <v>213</v>
      </c>
      <c r="F63" s="35" t="s">
        <v>15</v>
      </c>
      <c r="G63" s="47"/>
      <c r="H63" s="47"/>
      <c r="I63" s="47"/>
      <c r="J63" s="47"/>
      <c r="K63" s="56"/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49"/>
      <c r="R63" s="49"/>
      <c r="S63" s="49"/>
      <c r="T63" s="49"/>
      <c r="U63" s="49"/>
      <c r="V63" s="57"/>
      <c r="W63" s="31"/>
      <c r="X63" s="31"/>
      <c r="Y63" s="31"/>
      <c r="Z63" s="31"/>
      <c r="AA63" s="31"/>
    </row>
    <row r="64" spans="1:27" s="12" customFormat="1">
      <c r="A64" s="47"/>
      <c r="B64" s="47"/>
      <c r="C64" s="32"/>
      <c r="D64" s="33" t="s">
        <v>13</v>
      </c>
      <c r="E64" s="34" t="s">
        <v>249</v>
      </c>
      <c r="F64" s="35" t="s">
        <v>15</v>
      </c>
      <c r="G64" s="47"/>
      <c r="H64" s="47"/>
      <c r="I64" s="47"/>
      <c r="J64" s="47"/>
      <c r="K64" s="56"/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8" t="s">
        <v>267</v>
      </c>
      <c r="R64" s="49"/>
      <c r="S64" s="49"/>
      <c r="T64" s="49"/>
      <c r="U64" s="49"/>
      <c r="V64" s="57"/>
      <c r="W64" s="31"/>
      <c r="X64" s="31"/>
      <c r="Y64" s="31"/>
      <c r="Z64" s="31"/>
      <c r="AA64" s="31"/>
    </row>
    <row r="65" spans="1:27" s="12" customFormat="1">
      <c r="A65" s="47"/>
      <c r="B65" s="47"/>
      <c r="C65" s="32"/>
      <c r="D65" s="33"/>
      <c r="E65" s="41"/>
      <c r="F65" s="33"/>
      <c r="G65" s="47"/>
      <c r="H65" s="47"/>
      <c r="I65" s="47"/>
      <c r="J65" s="47"/>
      <c r="K65" s="56"/>
      <c r="L65" s="47"/>
      <c r="M65" s="47"/>
      <c r="N65" s="47"/>
      <c r="O65" s="47"/>
      <c r="P65" s="47"/>
      <c r="Q65" s="38"/>
      <c r="R65" s="49"/>
      <c r="S65" s="49"/>
      <c r="T65" s="49"/>
      <c r="U65" s="49"/>
      <c r="V65" s="57"/>
      <c r="W65" s="31"/>
      <c r="X65" s="31"/>
      <c r="Y65" s="31"/>
      <c r="Z65" s="31"/>
      <c r="AA65" s="31"/>
    </row>
    <row r="66" spans="1:27" s="12" customFormat="1">
      <c r="A66" s="47"/>
      <c r="B66" s="47"/>
      <c r="C66" s="32"/>
      <c r="D66" s="33" t="s">
        <v>13</v>
      </c>
      <c r="E66" s="34" t="s">
        <v>214</v>
      </c>
      <c r="F66" s="35" t="s">
        <v>15</v>
      </c>
      <c r="G66" s="47"/>
      <c r="H66" s="47"/>
      <c r="I66" s="47"/>
      <c r="J66" s="47"/>
      <c r="K66" s="56"/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49"/>
      <c r="R66" s="49"/>
      <c r="S66" s="49"/>
      <c r="T66" s="49"/>
      <c r="U66" s="49"/>
      <c r="V66" s="57"/>
      <c r="W66" s="31"/>
      <c r="X66" s="31"/>
      <c r="Y66" s="31"/>
      <c r="Z66" s="31"/>
      <c r="AA66" s="31"/>
    </row>
    <row r="67" spans="1:27" s="12" customFormat="1">
      <c r="A67" s="47"/>
      <c r="B67" s="47"/>
      <c r="C67" s="32"/>
      <c r="D67" s="33" t="s">
        <v>13</v>
      </c>
      <c r="E67" s="34" t="s">
        <v>215</v>
      </c>
      <c r="F67" s="35" t="s">
        <v>15</v>
      </c>
      <c r="G67" s="47"/>
      <c r="H67" s="47"/>
      <c r="I67" s="47"/>
      <c r="J67" s="47"/>
      <c r="K67" s="56"/>
      <c r="L67" s="37">
        <v>0</v>
      </c>
      <c r="M67" s="37">
        <v>0</v>
      </c>
      <c r="N67" s="37">
        <v>0</v>
      </c>
      <c r="O67" s="37">
        <v>0</v>
      </c>
      <c r="P67" s="37">
        <v>0</v>
      </c>
      <c r="Q67" s="49"/>
      <c r="R67" s="49"/>
      <c r="S67" s="49"/>
      <c r="T67" s="49"/>
      <c r="U67" s="49"/>
      <c r="V67" s="57"/>
      <c r="W67" s="31"/>
      <c r="X67" s="31"/>
      <c r="Y67" s="31"/>
      <c r="Z67" s="31"/>
      <c r="AA67" s="31"/>
    </row>
    <row r="68" spans="1:27" s="12" customFormat="1">
      <c r="A68" s="47"/>
      <c r="B68" s="47"/>
      <c r="C68" s="32"/>
      <c r="D68" s="33" t="s">
        <v>13</v>
      </c>
      <c r="E68" s="34" t="s">
        <v>324</v>
      </c>
      <c r="F68" s="35" t="s">
        <v>15</v>
      </c>
      <c r="G68" s="47"/>
      <c r="H68" s="47"/>
      <c r="I68" s="47"/>
      <c r="J68" s="47"/>
      <c r="K68" s="56"/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8" t="s">
        <v>311</v>
      </c>
      <c r="R68" s="49"/>
      <c r="S68" s="49"/>
      <c r="T68" s="49"/>
      <c r="U68" s="49"/>
      <c r="V68" s="57"/>
      <c r="W68" s="31"/>
      <c r="X68" s="31"/>
      <c r="Y68" s="31"/>
      <c r="Z68" s="31"/>
      <c r="AA68" s="31"/>
    </row>
    <row r="69" spans="1:27" s="12" customFormat="1">
      <c r="A69" s="47"/>
      <c r="B69" s="47"/>
      <c r="C69" s="32"/>
      <c r="D69" s="33" t="s">
        <v>13</v>
      </c>
      <c r="E69" s="34" t="s">
        <v>216</v>
      </c>
      <c r="F69" s="35" t="s">
        <v>15</v>
      </c>
      <c r="G69" s="47"/>
      <c r="H69" s="47"/>
      <c r="I69" s="47"/>
      <c r="J69" s="47"/>
      <c r="K69" s="56"/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49"/>
      <c r="R69" s="49"/>
      <c r="S69" s="49"/>
      <c r="T69" s="49"/>
      <c r="U69" s="49"/>
      <c r="V69" s="57"/>
      <c r="W69" s="31"/>
      <c r="X69" s="31"/>
      <c r="Y69" s="31"/>
      <c r="Z69" s="31"/>
      <c r="AA69" s="31"/>
    </row>
    <row r="70" spans="1:27" s="12" customFormat="1">
      <c r="A70" s="47"/>
      <c r="B70" s="47"/>
      <c r="C70" s="32"/>
      <c r="D70" s="33" t="s">
        <v>13</v>
      </c>
      <c r="E70" s="34" t="s">
        <v>250</v>
      </c>
      <c r="F70" s="35" t="s">
        <v>15</v>
      </c>
      <c r="G70" s="47"/>
      <c r="H70" s="47"/>
      <c r="I70" s="47"/>
      <c r="J70" s="47"/>
      <c r="K70" s="56"/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8" t="s">
        <v>217</v>
      </c>
      <c r="R70" s="49"/>
      <c r="S70" s="49"/>
      <c r="T70" s="49"/>
      <c r="U70" s="49"/>
      <c r="V70" s="57"/>
      <c r="W70" s="31"/>
      <c r="X70" s="31"/>
      <c r="Y70" s="31"/>
      <c r="Z70" s="31"/>
      <c r="AA70" s="31"/>
    </row>
    <row r="71" spans="1:27" s="12" customFormat="1">
      <c r="A71" s="33"/>
      <c r="B71" s="33"/>
      <c r="C71" s="32"/>
      <c r="D71" s="33" t="s">
        <v>13</v>
      </c>
      <c r="E71" s="34" t="s">
        <v>281</v>
      </c>
      <c r="F71" s="35" t="s">
        <v>15</v>
      </c>
      <c r="G71" s="33"/>
      <c r="H71" s="33"/>
      <c r="I71" s="33"/>
      <c r="J71" s="33"/>
      <c r="K71" s="56"/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8" t="s">
        <v>268</v>
      </c>
      <c r="R71" s="31"/>
      <c r="S71" s="31"/>
      <c r="T71" s="31"/>
      <c r="U71" s="31"/>
      <c r="V71" s="57"/>
      <c r="W71" s="31"/>
      <c r="X71" s="31"/>
      <c r="Y71" s="31"/>
      <c r="Z71" s="31"/>
      <c r="AA71" s="31"/>
    </row>
    <row r="72" spans="1:27" s="12" customFormat="1">
      <c r="A72" s="33"/>
      <c r="B72" s="33"/>
      <c r="C72" s="32"/>
      <c r="D72" s="33" t="s">
        <v>13</v>
      </c>
      <c r="E72" s="34" t="s">
        <v>282</v>
      </c>
      <c r="F72" s="35" t="s">
        <v>15</v>
      </c>
      <c r="G72" s="33"/>
      <c r="H72" s="33"/>
      <c r="I72" s="33"/>
      <c r="J72" s="33"/>
      <c r="K72" s="56"/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8" t="s">
        <v>269</v>
      </c>
      <c r="R72" s="31"/>
      <c r="S72" s="31"/>
      <c r="T72" s="31"/>
      <c r="U72" s="31"/>
      <c r="V72" s="57"/>
      <c r="W72" s="31"/>
      <c r="X72" s="31"/>
      <c r="Y72" s="31"/>
      <c r="Z72" s="31"/>
      <c r="AA72" s="31"/>
    </row>
    <row r="73" spans="1:27" s="12" customFormat="1">
      <c r="A73" s="33"/>
      <c r="B73" s="33"/>
      <c r="C73" s="32"/>
      <c r="D73" s="33"/>
      <c r="E73" s="41"/>
      <c r="F73" s="33"/>
      <c r="G73" s="47"/>
      <c r="H73" s="47"/>
      <c r="I73" s="47"/>
      <c r="J73" s="47"/>
      <c r="K73" s="56"/>
      <c r="L73" s="47"/>
      <c r="M73" s="47"/>
      <c r="N73" s="47"/>
      <c r="O73" s="47"/>
      <c r="P73" s="47"/>
      <c r="R73" s="49"/>
      <c r="S73" s="49"/>
      <c r="T73" s="49"/>
      <c r="U73" s="49"/>
      <c r="V73" s="57"/>
      <c r="W73" s="31"/>
      <c r="X73" s="31"/>
      <c r="Y73" s="31"/>
      <c r="Z73" s="31"/>
      <c r="AA73" s="31"/>
    </row>
    <row r="74" spans="1:27" s="12" customFormat="1">
      <c r="A74" s="47"/>
      <c r="B74" s="47"/>
      <c r="C74" s="32"/>
      <c r="D74" s="33"/>
      <c r="E74" s="123" t="s">
        <v>221</v>
      </c>
      <c r="F74" s="33"/>
      <c r="G74" s="47"/>
      <c r="H74" s="47"/>
      <c r="I74" s="47"/>
      <c r="J74" s="47"/>
      <c r="K74" s="56"/>
      <c r="L74" s="47"/>
      <c r="M74" s="47"/>
      <c r="N74" s="47"/>
      <c r="O74" s="47"/>
      <c r="P74" s="47"/>
      <c r="Q74" s="38"/>
      <c r="R74" s="49"/>
      <c r="S74" s="49"/>
      <c r="T74" s="49"/>
      <c r="U74" s="49"/>
      <c r="V74" s="57"/>
      <c r="W74" s="31"/>
      <c r="X74" s="31"/>
      <c r="Y74" s="31"/>
      <c r="Z74" s="31"/>
      <c r="AA74" s="31"/>
    </row>
    <row r="75" spans="1:27" s="260" customFormat="1">
      <c r="A75" s="33"/>
      <c r="B75" s="33"/>
      <c r="C75" s="32"/>
      <c r="D75" s="33" t="s">
        <v>13</v>
      </c>
      <c r="E75" s="34" t="s">
        <v>218</v>
      </c>
      <c r="F75" s="35" t="s">
        <v>14</v>
      </c>
      <c r="G75" s="33"/>
      <c r="H75" s="33"/>
      <c r="I75" s="33"/>
      <c r="J75" s="33"/>
      <c r="K75" s="37">
        <v>0</v>
      </c>
      <c r="L75" s="33"/>
      <c r="M75" s="33"/>
      <c r="N75" s="33"/>
      <c r="O75" s="33"/>
      <c r="P75" s="33"/>
      <c r="Q75" s="38" t="s">
        <v>17</v>
      </c>
      <c r="R75" s="31"/>
      <c r="S75" s="31"/>
      <c r="T75" s="31"/>
      <c r="U75" s="31"/>
      <c r="V75" s="57"/>
      <c r="W75" s="31"/>
      <c r="X75" s="31"/>
      <c r="Y75" s="258"/>
      <c r="Z75" s="258"/>
      <c r="AA75" s="258"/>
    </row>
    <row r="76" spans="1:27" s="12" customFormat="1">
      <c r="A76" s="33"/>
      <c r="B76" s="33"/>
      <c r="C76" s="32"/>
      <c r="D76" s="33"/>
      <c r="E76" s="293"/>
      <c r="F76" s="294"/>
      <c r="G76" s="300"/>
      <c r="H76" s="300"/>
      <c r="I76" s="300"/>
      <c r="J76" s="300"/>
      <c r="K76" s="298"/>
      <c r="L76" s="295"/>
      <c r="M76" s="295"/>
      <c r="N76" s="295"/>
      <c r="O76" s="295"/>
      <c r="P76" s="295"/>
      <c r="Q76" s="38"/>
      <c r="R76" s="31"/>
      <c r="S76" s="31"/>
      <c r="T76" s="31"/>
      <c r="U76" s="31"/>
      <c r="V76" s="57"/>
      <c r="W76" s="31"/>
      <c r="X76" s="31"/>
      <c r="Y76" s="31"/>
      <c r="Z76" s="31"/>
      <c r="AA76" s="31"/>
    </row>
    <row r="77" spans="1:27" s="12" customFormat="1">
      <c r="A77" s="47"/>
      <c r="B77" s="47"/>
      <c r="C77" s="32"/>
      <c r="D77" s="33"/>
      <c r="E77" s="41"/>
      <c r="F77" s="33"/>
      <c r="G77" s="47"/>
      <c r="H77" s="47"/>
      <c r="I77" s="47"/>
      <c r="J77" s="47"/>
      <c r="K77" s="56"/>
      <c r="L77" s="47"/>
      <c r="M77" s="47"/>
      <c r="N77" s="47"/>
      <c r="O77" s="47"/>
      <c r="P77" s="47"/>
      <c r="Q77" s="38"/>
      <c r="R77" s="49"/>
      <c r="S77" s="49"/>
      <c r="T77" s="49"/>
      <c r="U77" s="49"/>
      <c r="V77" s="57"/>
      <c r="W77" s="31"/>
      <c r="X77" s="31"/>
      <c r="Y77" s="31"/>
      <c r="Z77" s="31"/>
      <c r="AA77" s="31"/>
    </row>
    <row r="78" spans="1:27" s="260" customFormat="1">
      <c r="A78" s="33"/>
      <c r="B78" s="33"/>
      <c r="C78" s="32"/>
      <c r="D78" s="33" t="s">
        <v>13</v>
      </c>
      <c r="E78" s="34" t="s">
        <v>219</v>
      </c>
      <c r="F78" s="35" t="s">
        <v>14</v>
      </c>
      <c r="G78" s="33"/>
      <c r="H78" s="33"/>
      <c r="I78" s="33"/>
      <c r="J78" s="33"/>
      <c r="K78" s="37">
        <v>0</v>
      </c>
      <c r="L78" s="33"/>
      <c r="M78" s="33"/>
      <c r="N78" s="33"/>
      <c r="O78" s="33"/>
      <c r="P78" s="33"/>
      <c r="Q78" s="38" t="s">
        <v>18</v>
      </c>
      <c r="R78" s="31"/>
      <c r="S78" s="31"/>
      <c r="T78" s="31"/>
      <c r="U78" s="31"/>
      <c r="V78" s="57"/>
      <c r="W78" s="31"/>
      <c r="X78" s="31"/>
      <c r="Y78" s="258"/>
      <c r="Z78" s="258"/>
      <c r="AA78" s="258"/>
    </row>
    <row r="79" spans="1:27" s="12" customFormat="1">
      <c r="A79" s="47"/>
      <c r="B79" s="47"/>
      <c r="C79" s="32"/>
      <c r="D79" s="33"/>
      <c r="E79" s="293"/>
      <c r="F79" s="294"/>
      <c r="G79" s="300"/>
      <c r="H79" s="300"/>
      <c r="I79" s="300"/>
      <c r="J79" s="300"/>
      <c r="K79" s="298"/>
      <c r="L79" s="295"/>
      <c r="M79" s="295"/>
      <c r="N79" s="295"/>
      <c r="O79" s="295"/>
      <c r="P79" s="295"/>
      <c r="Q79" s="38"/>
      <c r="R79" s="49"/>
      <c r="S79" s="49"/>
      <c r="T79" s="49"/>
      <c r="U79" s="49"/>
      <c r="V79" s="57"/>
      <c r="W79" s="31"/>
      <c r="X79" s="31"/>
      <c r="Y79" s="31"/>
      <c r="Z79" s="31"/>
      <c r="AA79" s="31"/>
    </row>
    <row r="80" spans="1:27" customFormat="1" ht="14.4"/>
    <row r="81" spans="1:24" s="23" customFormat="1" ht="13.8">
      <c r="A81" s="19"/>
      <c r="B81" s="20"/>
      <c r="C81" s="20"/>
      <c r="D81" s="21"/>
      <c r="E81" s="22" t="s">
        <v>19</v>
      </c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>
      <c r="A82" s="26"/>
      <c r="B82" s="26"/>
      <c r="C82" s="58"/>
      <c r="D82" s="26"/>
      <c r="E82" s="28"/>
      <c r="F82" s="26"/>
      <c r="G82" s="26"/>
      <c r="H82" s="26"/>
      <c r="I82" s="26"/>
      <c r="J82" s="26"/>
      <c r="K82" s="26"/>
      <c r="L82" s="47"/>
      <c r="M82" s="47"/>
      <c r="N82" s="47"/>
      <c r="O82" s="47"/>
      <c r="P82" s="47"/>
      <c r="Q82" s="26"/>
      <c r="R82" s="26"/>
      <c r="S82" s="26"/>
      <c r="T82" s="26"/>
      <c r="U82" s="26"/>
      <c r="V82" s="43"/>
    </row>
    <row r="83" spans="1:24" s="23" customFormat="1" ht="13.8">
      <c r="A83" s="19"/>
      <c r="B83" s="20"/>
      <c r="C83" s="20"/>
      <c r="D83" s="21"/>
      <c r="E83" s="22" t="s">
        <v>20</v>
      </c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4">
      <c r="A84" s="26"/>
      <c r="B84" s="26"/>
      <c r="C84" s="58"/>
      <c r="D84" s="26"/>
      <c r="E84" s="28"/>
      <c r="F84" s="26"/>
      <c r="G84" s="26"/>
      <c r="H84" s="26"/>
      <c r="I84" s="26"/>
      <c r="J84" s="26"/>
      <c r="K84" s="26"/>
      <c r="L84" s="47"/>
      <c r="M84" s="47"/>
      <c r="N84" s="47"/>
      <c r="O84" s="47"/>
      <c r="P84" s="47"/>
      <c r="Q84" s="26"/>
      <c r="R84" s="26"/>
      <c r="S84" s="26"/>
      <c r="T84" s="26"/>
      <c r="U84" s="26"/>
      <c r="V84" s="43"/>
    </row>
    <row r="85" spans="1:24">
      <c r="A85" s="26"/>
      <c r="B85" s="26"/>
      <c r="C85" s="58"/>
      <c r="D85" s="12"/>
      <c r="E85" s="55" t="s">
        <v>200</v>
      </c>
      <c r="F85" s="12"/>
      <c r="G85" s="12"/>
      <c r="H85" s="12"/>
      <c r="I85" s="26"/>
      <c r="J85" s="26"/>
      <c r="K85" s="26"/>
      <c r="L85" s="47"/>
      <c r="M85" s="47"/>
      <c r="N85" s="47"/>
      <c r="O85" s="47"/>
      <c r="P85" s="47"/>
      <c r="Q85" s="26"/>
      <c r="R85" s="26"/>
      <c r="S85" s="26"/>
      <c r="T85" s="26"/>
      <c r="U85" s="26"/>
      <c r="V85" s="43"/>
    </row>
    <row r="86" spans="1:24">
      <c r="A86" s="26"/>
      <c r="B86" s="26"/>
      <c r="C86" s="58"/>
      <c r="D86" s="29" t="s">
        <v>21</v>
      </c>
      <c r="E86" s="59" t="s">
        <v>22</v>
      </c>
      <c r="F86" s="12"/>
      <c r="G86" s="12"/>
      <c r="H86" s="66">
        <v>0.55000000000000004</v>
      </c>
      <c r="I86" s="38" t="s">
        <v>23</v>
      </c>
      <c r="J86" s="26"/>
      <c r="K86" s="219"/>
      <c r="L86" s="47"/>
      <c r="M86" s="47"/>
      <c r="N86" s="47"/>
      <c r="O86" s="47"/>
      <c r="P86" s="47"/>
      <c r="Q86" s="26"/>
      <c r="R86" s="26"/>
      <c r="S86" s="26"/>
      <c r="T86" s="26"/>
      <c r="U86" s="26"/>
      <c r="V86" s="43"/>
    </row>
    <row r="87" spans="1:24">
      <c r="A87" s="26"/>
      <c r="B87" s="26"/>
      <c r="C87" s="58"/>
      <c r="D87" s="29" t="s">
        <v>21</v>
      </c>
      <c r="E87" s="59" t="s">
        <v>24</v>
      </c>
      <c r="F87" s="12"/>
      <c r="G87" s="12"/>
      <c r="H87" s="66">
        <v>0.5</v>
      </c>
      <c r="I87" s="38" t="s">
        <v>25</v>
      </c>
      <c r="J87" s="26"/>
      <c r="K87" s="26"/>
      <c r="L87" s="47"/>
      <c r="M87" s="47"/>
      <c r="N87" s="47"/>
      <c r="O87" s="47"/>
      <c r="P87" s="47"/>
      <c r="Q87" s="26"/>
      <c r="R87" s="26"/>
      <c r="S87" s="26"/>
      <c r="T87" s="26"/>
      <c r="U87" s="26"/>
      <c r="V87" s="43"/>
    </row>
    <row r="88" spans="1:24">
      <c r="A88" s="26"/>
      <c r="B88" s="26"/>
      <c r="C88" s="58"/>
      <c r="D88" s="29"/>
      <c r="E88" s="28"/>
      <c r="F88" s="26"/>
      <c r="G88" s="26"/>
      <c r="H88" s="26"/>
      <c r="I88" s="60"/>
      <c r="J88" s="26"/>
      <c r="K88" s="26"/>
      <c r="L88" s="47"/>
      <c r="M88" s="47"/>
      <c r="N88" s="47"/>
      <c r="O88" s="47"/>
      <c r="P88" s="47"/>
      <c r="Q88" s="26"/>
      <c r="R88" s="26"/>
      <c r="S88" s="26"/>
      <c r="T88" s="26"/>
      <c r="U88" s="26"/>
      <c r="V88" s="43"/>
    </row>
    <row r="89" spans="1:24">
      <c r="A89" s="26"/>
      <c r="B89" s="26"/>
      <c r="C89" s="58"/>
      <c r="D89" s="26"/>
      <c r="E89" s="55" t="s">
        <v>26</v>
      </c>
      <c r="F89" s="26"/>
      <c r="G89" s="26"/>
      <c r="H89" s="26"/>
      <c r="I89" s="60"/>
      <c r="J89" s="26"/>
      <c r="K89" s="26"/>
      <c r="L89" s="47"/>
      <c r="M89" s="47"/>
      <c r="N89" s="47"/>
      <c r="O89" s="47"/>
      <c r="P89" s="47"/>
      <c r="Q89" s="26"/>
      <c r="R89" s="26"/>
      <c r="S89" s="26"/>
      <c r="T89" s="26"/>
      <c r="U89" s="26"/>
      <c r="V89" s="43"/>
    </row>
    <row r="90" spans="1:24">
      <c r="A90" s="26"/>
      <c r="B90" s="26"/>
      <c r="C90" s="58"/>
      <c r="D90" s="29" t="s">
        <v>27</v>
      </c>
      <c r="E90" s="59" t="s">
        <v>28</v>
      </c>
      <c r="F90" s="26"/>
      <c r="G90" s="26"/>
      <c r="H90" s="61">
        <v>115</v>
      </c>
      <c r="I90" s="38" t="s">
        <v>29</v>
      </c>
      <c r="J90" s="26"/>
      <c r="K90" s="26"/>
      <c r="L90" s="47"/>
      <c r="M90" s="47"/>
      <c r="N90" s="47"/>
      <c r="O90" s="47"/>
      <c r="P90" s="47"/>
      <c r="Q90" s="26"/>
      <c r="R90" s="26"/>
      <c r="S90" s="26"/>
      <c r="T90" s="26"/>
      <c r="U90" s="26"/>
      <c r="V90" s="43"/>
    </row>
    <row r="91" spans="1:24">
      <c r="A91" s="26"/>
      <c r="B91" s="26"/>
      <c r="C91" s="58"/>
      <c r="D91" s="29" t="s">
        <v>27</v>
      </c>
      <c r="E91" s="59" t="s">
        <v>30</v>
      </c>
      <c r="F91" s="31"/>
      <c r="G91" s="31"/>
      <c r="H91" s="61">
        <v>130</v>
      </c>
      <c r="I91" s="38" t="s">
        <v>31</v>
      </c>
      <c r="J91" s="26"/>
      <c r="K91" s="26"/>
      <c r="L91" s="47"/>
      <c r="M91" s="47"/>
      <c r="N91" s="47"/>
      <c r="O91" s="47"/>
      <c r="P91" s="47"/>
      <c r="Q91" s="26"/>
      <c r="R91" s="26"/>
      <c r="S91" s="26"/>
      <c r="T91" s="26"/>
      <c r="U91" s="26"/>
      <c r="V91" s="43"/>
    </row>
    <row r="92" spans="1:24">
      <c r="A92" s="26"/>
      <c r="B92" s="26"/>
      <c r="C92" s="58"/>
      <c r="D92" s="26"/>
      <c r="E92" s="28"/>
      <c r="F92" s="26"/>
      <c r="G92" s="26"/>
      <c r="H92" s="26"/>
      <c r="I92" s="38"/>
      <c r="J92" s="26"/>
      <c r="K92" s="26"/>
      <c r="L92" s="47"/>
      <c r="M92" s="47"/>
      <c r="N92" s="47"/>
      <c r="O92" s="47"/>
      <c r="P92" s="47"/>
      <c r="Q92" s="26"/>
      <c r="R92" s="26"/>
      <c r="S92" s="26"/>
      <c r="T92" s="26"/>
      <c r="U92" s="26"/>
      <c r="V92" s="43"/>
    </row>
    <row r="93" spans="1:24">
      <c r="A93" s="26"/>
      <c r="B93" s="26"/>
      <c r="C93" s="58"/>
      <c r="D93" s="29" t="s">
        <v>27</v>
      </c>
      <c r="E93" s="59" t="s">
        <v>32</v>
      </c>
      <c r="F93" s="26"/>
      <c r="G93" s="26"/>
      <c r="H93" s="61">
        <v>80</v>
      </c>
      <c r="I93" s="38" t="s">
        <v>33</v>
      </c>
      <c r="J93" s="26"/>
      <c r="K93" s="26"/>
      <c r="L93" s="47"/>
      <c r="M93" s="47"/>
      <c r="N93" s="47"/>
      <c r="O93" s="47"/>
      <c r="P93" s="47"/>
      <c r="Q93" s="26"/>
      <c r="R93" s="26"/>
      <c r="S93" s="26"/>
      <c r="T93" s="26"/>
      <c r="U93" s="26"/>
      <c r="V93" s="43"/>
    </row>
    <row r="94" spans="1:24">
      <c r="A94" s="26"/>
      <c r="B94" s="26"/>
      <c r="C94" s="58"/>
      <c r="D94" s="29" t="s">
        <v>27</v>
      </c>
      <c r="E94" s="59" t="s">
        <v>34</v>
      </c>
      <c r="F94" s="26"/>
      <c r="G94" s="26"/>
      <c r="H94" s="61">
        <v>80</v>
      </c>
      <c r="I94" s="38" t="s">
        <v>35</v>
      </c>
      <c r="J94" s="26"/>
      <c r="K94" s="26"/>
      <c r="L94" s="47"/>
      <c r="M94" s="47"/>
      <c r="N94" s="47"/>
      <c r="O94" s="47"/>
      <c r="P94" s="47"/>
      <c r="Q94" s="26"/>
      <c r="R94" s="26"/>
      <c r="S94" s="26"/>
      <c r="T94" s="26"/>
      <c r="U94" s="26"/>
      <c r="V94" s="43"/>
    </row>
    <row r="95" spans="1:24">
      <c r="A95" s="26"/>
      <c r="B95" s="26"/>
      <c r="C95" s="58"/>
      <c r="D95" s="26"/>
      <c r="E95" s="28"/>
      <c r="F95" s="26"/>
      <c r="G95" s="26"/>
      <c r="H95" s="26"/>
      <c r="I95" s="60"/>
      <c r="J95" s="26"/>
      <c r="K95" s="26"/>
      <c r="L95" s="47"/>
      <c r="M95" s="47"/>
      <c r="N95" s="47"/>
      <c r="O95" s="47"/>
      <c r="P95" s="47"/>
      <c r="Q95" s="26"/>
      <c r="R95" s="26"/>
      <c r="S95" s="26"/>
      <c r="T95" s="26"/>
      <c r="U95" s="26"/>
      <c r="V95" s="43"/>
    </row>
    <row r="96" spans="1:24">
      <c r="A96" s="26"/>
      <c r="B96" s="26"/>
      <c r="C96" s="58"/>
      <c r="D96" s="29" t="s">
        <v>27</v>
      </c>
      <c r="E96" s="51" t="s">
        <v>36</v>
      </c>
      <c r="F96" s="26"/>
      <c r="G96" s="26"/>
      <c r="H96" s="61">
        <f>IF(Enhanced.Flag,UB.Enhanced,UB.NonEnhanced)</f>
        <v>130</v>
      </c>
      <c r="I96" s="38" t="s">
        <v>37</v>
      </c>
      <c r="J96" s="26"/>
      <c r="K96" s="26"/>
      <c r="L96" s="47"/>
      <c r="M96" s="47"/>
      <c r="N96" s="47"/>
      <c r="O96" s="47"/>
      <c r="P96" s="47"/>
      <c r="Q96" s="26"/>
      <c r="R96" s="26"/>
      <c r="S96" s="26"/>
      <c r="T96" s="26"/>
      <c r="U96" s="26"/>
      <c r="V96" s="43"/>
    </row>
    <row r="97" spans="1:24">
      <c r="A97" s="26"/>
      <c r="B97" s="26"/>
      <c r="C97" s="58"/>
      <c r="D97" s="29" t="s">
        <v>27</v>
      </c>
      <c r="E97" s="51" t="s">
        <v>38</v>
      </c>
      <c r="F97" s="26"/>
      <c r="G97" s="26"/>
      <c r="H97" s="61">
        <f>IF(Enhanced.Flag,LB.Enhanced,LB.NonEnhanced)</f>
        <v>80</v>
      </c>
      <c r="I97" s="38" t="s">
        <v>39</v>
      </c>
      <c r="J97" s="26"/>
      <c r="K97" s="26"/>
      <c r="L97" s="47"/>
      <c r="M97" s="47"/>
      <c r="N97" s="47"/>
      <c r="O97" s="47"/>
      <c r="P97" s="47"/>
      <c r="Q97" s="26"/>
      <c r="R97" s="26"/>
      <c r="S97" s="26"/>
      <c r="T97" s="26"/>
      <c r="U97" s="26"/>
      <c r="V97" s="43"/>
    </row>
    <row r="98" spans="1:24">
      <c r="A98" s="26"/>
      <c r="B98" s="26"/>
      <c r="C98" s="58"/>
      <c r="D98" s="26"/>
      <c r="E98" s="28"/>
      <c r="F98" s="26"/>
      <c r="G98" s="26"/>
      <c r="H98" s="26"/>
      <c r="I98" s="60"/>
      <c r="J98" s="26"/>
      <c r="K98" s="26"/>
      <c r="L98" s="47"/>
      <c r="M98" s="47"/>
      <c r="N98" s="47"/>
      <c r="O98" s="47"/>
      <c r="P98" s="47"/>
      <c r="Q98" s="26"/>
      <c r="R98" s="26"/>
      <c r="S98" s="26"/>
      <c r="T98" s="26"/>
      <c r="U98" s="26"/>
      <c r="V98" s="43"/>
    </row>
    <row r="99" spans="1:24">
      <c r="A99" s="26"/>
      <c r="B99" s="26"/>
      <c r="C99" s="58"/>
      <c r="D99" s="26"/>
      <c r="E99" s="62" t="s">
        <v>40</v>
      </c>
      <c r="F99" s="63"/>
      <c r="G99" s="63"/>
      <c r="H99" s="33"/>
      <c r="I99" s="60"/>
      <c r="J99" s="26"/>
      <c r="K99" s="26"/>
      <c r="L99" s="47"/>
      <c r="M99" s="47"/>
      <c r="N99" s="47"/>
      <c r="O99" s="47"/>
      <c r="P99" s="47"/>
      <c r="Q99" s="26"/>
      <c r="R99" s="26"/>
      <c r="S99" s="26"/>
      <c r="T99" s="26"/>
      <c r="U99" s="26"/>
      <c r="V99" s="43"/>
    </row>
    <row r="100" spans="1:24">
      <c r="A100" s="26"/>
      <c r="B100" s="26"/>
      <c r="C100" s="58"/>
      <c r="D100" s="29" t="s">
        <v>27</v>
      </c>
      <c r="E100" s="64" t="s">
        <v>41</v>
      </c>
      <c r="F100" s="63"/>
      <c r="G100" s="63"/>
      <c r="H100" s="61">
        <v>100</v>
      </c>
      <c r="I100" s="38" t="s">
        <v>42</v>
      </c>
      <c r="J100" s="26"/>
      <c r="K100" s="26"/>
      <c r="L100" s="47"/>
      <c r="M100" s="47"/>
      <c r="N100" s="47"/>
      <c r="O100" s="47"/>
      <c r="P100" s="47"/>
      <c r="Q100" s="26"/>
      <c r="R100" s="26"/>
      <c r="S100" s="26"/>
      <c r="T100" s="26"/>
      <c r="U100" s="26"/>
      <c r="V100" s="43"/>
    </row>
    <row r="101" spans="1:24">
      <c r="A101" s="26"/>
      <c r="B101" s="26"/>
      <c r="C101" s="58"/>
      <c r="D101" s="29" t="s">
        <v>27</v>
      </c>
      <c r="E101" s="64" t="s">
        <v>16</v>
      </c>
      <c r="F101" s="63"/>
      <c r="G101" s="63"/>
      <c r="H101" s="61">
        <v>100</v>
      </c>
      <c r="I101" s="38" t="s">
        <v>43</v>
      </c>
      <c r="J101" s="26"/>
      <c r="K101" s="26"/>
      <c r="L101" s="47"/>
      <c r="M101" s="47"/>
      <c r="N101" s="47"/>
      <c r="O101" s="47"/>
      <c r="P101" s="47"/>
      <c r="Q101" s="26"/>
      <c r="R101" s="26"/>
      <c r="S101" s="26"/>
      <c r="T101" s="26"/>
      <c r="U101" s="26"/>
      <c r="V101" s="43"/>
    </row>
    <row r="102" spans="1:24">
      <c r="A102" s="26"/>
      <c r="B102" s="26"/>
      <c r="C102" s="58"/>
      <c r="D102" s="26"/>
      <c r="E102" s="64"/>
      <c r="F102" s="63"/>
      <c r="G102" s="63"/>
      <c r="H102" s="33"/>
      <c r="I102" s="60"/>
      <c r="J102" s="26"/>
      <c r="K102" s="26"/>
      <c r="L102" s="47"/>
      <c r="M102" s="47"/>
      <c r="N102" s="47"/>
      <c r="O102" s="47"/>
      <c r="P102" s="47"/>
      <c r="Q102" s="26"/>
      <c r="R102" s="26"/>
      <c r="S102" s="26"/>
      <c r="T102" s="26"/>
      <c r="U102" s="26"/>
      <c r="V102" s="43"/>
    </row>
    <row r="103" spans="1:24">
      <c r="A103" s="26"/>
      <c r="B103" s="26"/>
      <c r="C103" s="58"/>
      <c r="D103" s="63"/>
      <c r="E103" s="62" t="s">
        <v>44</v>
      </c>
      <c r="F103" s="63"/>
      <c r="G103" s="63"/>
      <c r="H103" s="33"/>
      <c r="I103" s="60"/>
      <c r="J103" s="26"/>
      <c r="K103" s="26"/>
      <c r="L103" s="47"/>
      <c r="M103" s="47"/>
      <c r="N103" s="47"/>
      <c r="O103" s="47"/>
      <c r="P103" s="47"/>
      <c r="Q103" s="26"/>
      <c r="R103" s="26"/>
      <c r="S103" s="26"/>
      <c r="T103" s="26"/>
      <c r="U103" s="26"/>
      <c r="V103" s="43"/>
    </row>
    <row r="104" spans="1:24">
      <c r="A104" s="26"/>
      <c r="B104" s="26"/>
      <c r="C104" s="58"/>
      <c r="D104" s="47" t="s">
        <v>21</v>
      </c>
      <c r="E104" s="65" t="s">
        <v>45</v>
      </c>
      <c r="F104" s="63"/>
      <c r="G104" s="63"/>
      <c r="H104" s="66">
        <f>IF(Enhanced.Flag,Enhanced.Baseline,NonEnhanced.Baseline)</f>
        <v>0.5</v>
      </c>
      <c r="I104" s="38" t="s">
        <v>46</v>
      </c>
      <c r="J104" s="26"/>
      <c r="K104" s="26"/>
      <c r="L104" s="47"/>
      <c r="M104" s="47"/>
      <c r="N104" s="47"/>
      <c r="O104" s="47"/>
      <c r="P104" s="47"/>
      <c r="Q104" s="26"/>
      <c r="R104" s="26"/>
      <c r="S104" s="26"/>
      <c r="T104" s="26"/>
      <c r="U104" s="26"/>
      <c r="V104" s="43"/>
    </row>
    <row r="105" spans="1:24">
      <c r="A105" s="26"/>
      <c r="B105" s="26"/>
      <c r="C105" s="58"/>
      <c r="D105" s="47" t="s">
        <v>47</v>
      </c>
      <c r="E105" s="65" t="s">
        <v>48</v>
      </c>
      <c r="F105" s="63"/>
      <c r="G105" s="63"/>
      <c r="H105" s="71">
        <f>-0.2%</f>
        <v>-2E-3</v>
      </c>
      <c r="I105" s="38" t="s">
        <v>49</v>
      </c>
      <c r="J105" s="26"/>
      <c r="K105" s="26"/>
      <c r="L105" s="47"/>
      <c r="M105" s="47"/>
      <c r="N105" s="47"/>
      <c r="O105" s="47"/>
      <c r="P105" s="47"/>
      <c r="Q105" s="26"/>
      <c r="R105" s="26"/>
      <c r="S105" s="26"/>
      <c r="T105" s="26"/>
      <c r="U105" s="26"/>
      <c r="V105" s="43"/>
    </row>
    <row r="106" spans="1:24" s="3" customFormat="1">
      <c r="H106" s="118"/>
      <c r="I106" s="67"/>
    </row>
    <row r="107" spans="1:24" s="3" customFormat="1">
      <c r="E107" s="62" t="s">
        <v>50</v>
      </c>
      <c r="H107" s="118"/>
      <c r="I107" s="67"/>
    </row>
    <row r="108" spans="1:24" s="3" customFormat="1">
      <c r="D108" s="3" t="s">
        <v>51</v>
      </c>
      <c r="E108" s="65" t="s">
        <v>52</v>
      </c>
      <c r="F108" s="49"/>
      <c r="G108" s="49"/>
      <c r="H108" s="263">
        <v>0.75</v>
      </c>
      <c r="I108" s="68" t="s">
        <v>53</v>
      </c>
    </row>
    <row r="109" spans="1:24" s="3" customFormat="1">
      <c r="D109" s="3" t="s">
        <v>51</v>
      </c>
      <c r="E109" s="65" t="s">
        <v>54</v>
      </c>
      <c r="F109" s="49"/>
      <c r="G109" s="49"/>
      <c r="H109" s="263">
        <v>0.25</v>
      </c>
      <c r="I109" s="68" t="s">
        <v>55</v>
      </c>
    </row>
    <row r="110" spans="1:24" s="3" customFormat="1">
      <c r="H110" s="49"/>
    </row>
    <row r="111" spans="1:24" s="3" customFormat="1"/>
    <row r="112" spans="1:24" s="23" customFormat="1" ht="13.8">
      <c r="A112" s="19"/>
      <c r="B112" s="20"/>
      <c r="C112" s="20"/>
      <c r="D112" s="21"/>
      <c r="E112" s="22" t="s">
        <v>56</v>
      </c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7" s="12" customFormat="1">
      <c r="A113" s="26"/>
      <c r="B113" s="26"/>
      <c r="C113" s="46"/>
      <c r="D113" s="26"/>
      <c r="E113" s="35"/>
      <c r="F113" s="26"/>
      <c r="G113" s="26"/>
      <c r="H113" s="26"/>
      <c r="I113" s="26"/>
      <c r="J113" s="26"/>
      <c r="K113" s="26"/>
      <c r="L113" s="47"/>
      <c r="M113" s="47"/>
      <c r="N113" s="47"/>
      <c r="O113" s="47"/>
      <c r="P113" s="47"/>
      <c r="Q113" s="26"/>
      <c r="R113" s="26"/>
      <c r="S113" s="26"/>
      <c r="T113" s="26"/>
      <c r="U113" s="26"/>
      <c r="V113" s="43"/>
      <c r="W113" s="31"/>
      <c r="X113" s="31"/>
      <c r="Y113" s="31"/>
      <c r="Z113" s="31"/>
      <c r="AA113" s="31"/>
    </row>
    <row r="114" spans="1:27" s="12" customFormat="1">
      <c r="A114" s="47"/>
      <c r="B114" s="47"/>
      <c r="C114" s="48"/>
      <c r="D114" s="47"/>
      <c r="E114" s="55" t="s">
        <v>57</v>
      </c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9"/>
      <c r="R114" s="49"/>
      <c r="S114" s="49"/>
      <c r="T114" s="49"/>
      <c r="U114" s="49"/>
      <c r="V114" s="50"/>
      <c r="W114" s="31"/>
      <c r="X114" s="31"/>
      <c r="Y114" s="31"/>
      <c r="Z114" s="31"/>
      <c r="AA114" s="31"/>
    </row>
    <row r="115" spans="1:27" s="12" customFormat="1">
      <c r="A115" s="47"/>
      <c r="B115" s="47"/>
      <c r="C115" s="48"/>
      <c r="D115" s="47" t="s">
        <v>58</v>
      </c>
      <c r="E115" s="59" t="s">
        <v>302</v>
      </c>
      <c r="G115" s="47"/>
      <c r="H115" s="69">
        <f>Company.Baseline-(100*Company.Slope)</f>
        <v>0.7</v>
      </c>
      <c r="I115" s="70" t="s">
        <v>59</v>
      </c>
      <c r="J115" s="47"/>
      <c r="K115" s="47"/>
      <c r="L115" s="47"/>
      <c r="M115" s="47"/>
      <c r="N115" s="47"/>
      <c r="R115" s="49"/>
      <c r="S115" s="49"/>
      <c r="T115" s="49"/>
      <c r="U115" s="49"/>
      <c r="V115" s="50"/>
      <c r="W115" s="31"/>
      <c r="X115" s="31"/>
      <c r="Y115" s="31"/>
      <c r="Z115" s="31"/>
      <c r="AA115" s="31"/>
    </row>
    <row r="116" spans="1:27" s="12" customFormat="1">
      <c r="A116" s="47"/>
      <c r="B116" s="47"/>
      <c r="C116" s="48"/>
      <c r="D116" s="47" t="s">
        <v>58</v>
      </c>
      <c r="E116" s="59" t="s">
        <v>60</v>
      </c>
      <c r="F116" s="35"/>
      <c r="G116" s="47"/>
      <c r="H116" s="71">
        <f>Company.Slope</f>
        <v>-2E-3</v>
      </c>
      <c r="I116" s="70" t="s">
        <v>61</v>
      </c>
      <c r="J116" s="47"/>
      <c r="K116" s="47"/>
      <c r="L116" s="47"/>
      <c r="M116" s="47"/>
      <c r="N116" s="47"/>
      <c r="Q116" s="47"/>
      <c r="R116" s="49"/>
      <c r="S116" s="49"/>
      <c r="T116" s="49"/>
      <c r="U116" s="49"/>
      <c r="V116" s="50"/>
      <c r="W116" s="31"/>
      <c r="X116" s="31"/>
      <c r="Y116" s="31"/>
      <c r="Z116" s="31"/>
      <c r="AA116" s="31"/>
    </row>
    <row r="117" spans="1:27" s="278" customFormat="1">
      <c r="A117" s="33"/>
      <c r="B117" s="33"/>
      <c r="C117" s="32"/>
      <c r="D117" s="33" t="s">
        <v>58</v>
      </c>
      <c r="E117" s="34" t="s">
        <v>327</v>
      </c>
      <c r="F117" s="35"/>
      <c r="G117" s="33"/>
      <c r="H117" s="69">
        <f>100*OfwatBaseline.Int</f>
        <v>75</v>
      </c>
      <c r="I117" s="70" t="s">
        <v>62</v>
      </c>
      <c r="J117" s="33"/>
      <c r="K117" s="33"/>
      <c r="L117" s="33"/>
      <c r="M117" s="33"/>
      <c r="N117" s="33"/>
      <c r="O117" s="12"/>
      <c r="P117" s="12"/>
      <c r="Q117" s="33"/>
      <c r="R117" s="31"/>
      <c r="S117" s="31"/>
      <c r="T117" s="31"/>
      <c r="U117" s="31"/>
      <c r="V117" s="57"/>
      <c r="W117" s="31"/>
      <c r="X117" s="31"/>
      <c r="Y117" s="279"/>
      <c r="Z117" s="279"/>
      <c r="AA117" s="279"/>
    </row>
    <row r="118" spans="1:27" s="12" customFormat="1">
      <c r="A118" s="47"/>
      <c r="B118" s="47"/>
      <c r="C118" s="48"/>
      <c r="D118" s="47" t="s">
        <v>58</v>
      </c>
      <c r="E118" s="59" t="s">
        <v>63</v>
      </c>
      <c r="F118" s="35"/>
      <c r="G118" s="47"/>
      <c r="H118" s="69">
        <f>CompanyForecase.Int</f>
        <v>0.25</v>
      </c>
      <c r="I118" s="70" t="s">
        <v>64</v>
      </c>
      <c r="J118" s="47"/>
      <c r="K118" s="47"/>
      <c r="L118" s="47"/>
      <c r="M118" s="47"/>
      <c r="N118" s="47"/>
      <c r="O118" s="47"/>
      <c r="P118" s="47"/>
      <c r="Q118" s="47"/>
      <c r="R118" s="49"/>
      <c r="S118" s="49"/>
      <c r="T118" s="49"/>
      <c r="U118" s="49"/>
      <c r="V118" s="50"/>
      <c r="W118" s="31"/>
      <c r="X118" s="31"/>
      <c r="Y118" s="31"/>
      <c r="Z118" s="31"/>
      <c r="AA118" s="31"/>
    </row>
    <row r="119" spans="1:27" s="12" customFormat="1">
      <c r="A119" s="47"/>
      <c r="B119" s="47"/>
      <c r="C119" s="48"/>
      <c r="D119" s="47" t="s">
        <v>58</v>
      </c>
      <c r="E119" s="59" t="s">
        <v>65</v>
      </c>
      <c r="F119" s="35"/>
      <c r="G119" s="47"/>
      <c r="H119" s="69">
        <f>(Outturn.BP+0-(OfwatBaseline.Int*100 + CompanyForecase.Int*Choice.BP))*(Eff.Inc.Constant + Eff.Inc.Slope*Choice.BP)+0-(Add.Income.1stOrder*Choice.BP)+0-(Add.Income.2ndOrder*(Choice.BP)^2)</f>
        <v>7.5</v>
      </c>
      <c r="I119" s="70" t="s">
        <v>66</v>
      </c>
      <c r="J119" s="47"/>
      <c r="K119" s="47"/>
      <c r="L119" s="47"/>
      <c r="M119" s="47"/>
      <c r="N119" s="47"/>
      <c r="O119" s="47"/>
      <c r="P119" s="47"/>
      <c r="S119" s="49"/>
      <c r="T119" s="49"/>
      <c r="U119" s="49"/>
      <c r="V119" s="50"/>
      <c r="W119" s="31"/>
      <c r="X119" s="31"/>
      <c r="Y119" s="31"/>
      <c r="Z119" s="31"/>
      <c r="AA119" s="31"/>
    </row>
    <row r="120" spans="1:27" s="12" customFormat="1">
      <c r="A120" s="47"/>
      <c r="B120" s="47"/>
      <c r="C120" s="48"/>
      <c r="D120" s="47" t="s">
        <v>58</v>
      </c>
      <c r="E120" s="59" t="s">
        <v>67</v>
      </c>
      <c r="F120" s="35"/>
      <c r="G120" s="47"/>
      <c r="H120" s="72">
        <f>0-Eff.Inc.Slope*Allowed.Exp.Constant+0-Allowed.Exp.Slope*Eff.Inc.Constant</f>
        <v>-2.4999999999999994E-2</v>
      </c>
      <c r="I120" s="70" t="s">
        <v>68</v>
      </c>
      <c r="J120" s="47"/>
      <c r="K120" s="47"/>
      <c r="L120" s="47"/>
      <c r="M120" s="47"/>
      <c r="N120" s="47"/>
      <c r="O120" s="47"/>
      <c r="P120" s="47"/>
      <c r="S120" s="49"/>
      <c r="T120" s="49"/>
      <c r="U120" s="49"/>
      <c r="V120" s="50"/>
      <c r="W120" s="31"/>
      <c r="X120" s="31"/>
      <c r="Y120" s="31"/>
      <c r="Z120" s="31"/>
      <c r="AA120" s="31"/>
    </row>
    <row r="121" spans="1:27" s="12" customFormat="1">
      <c r="A121" s="47"/>
      <c r="B121" s="47"/>
      <c r="C121" s="48"/>
      <c r="D121" s="47" t="s">
        <v>58</v>
      </c>
      <c r="E121" s="59" t="s">
        <v>69</v>
      </c>
      <c r="F121" s="35"/>
      <c r="G121" s="47"/>
      <c r="H121" s="72">
        <f>(0-Allowed.Exp.Slope+0.5)*Eff.Inc.Slope</f>
        <v>-5.0000000000000001E-4</v>
      </c>
      <c r="I121" s="70" t="s">
        <v>70</v>
      </c>
      <c r="J121" s="47"/>
      <c r="K121" s="47"/>
      <c r="L121" s="47"/>
      <c r="M121" s="47"/>
      <c r="N121" s="47"/>
      <c r="O121" s="47"/>
      <c r="P121" s="47"/>
      <c r="R121" s="49"/>
      <c r="S121" s="49"/>
      <c r="T121" s="49"/>
      <c r="U121" s="49"/>
      <c r="V121" s="50"/>
      <c r="W121" s="31"/>
      <c r="X121" s="31"/>
      <c r="Y121" s="31"/>
      <c r="Z121" s="31"/>
      <c r="AA121" s="31"/>
    </row>
    <row r="122" spans="1:27" s="12" customFormat="1">
      <c r="A122" s="47"/>
      <c r="B122" s="47"/>
      <c r="C122" s="48"/>
      <c r="D122" s="47"/>
      <c r="E122" s="59"/>
      <c r="F122" s="35"/>
      <c r="G122" s="47"/>
      <c r="H122" s="47"/>
      <c r="I122" s="73"/>
      <c r="J122" s="47"/>
      <c r="K122" s="47"/>
      <c r="L122" s="47"/>
      <c r="M122" s="47"/>
      <c r="N122" s="47"/>
      <c r="O122" s="47"/>
      <c r="P122" s="47"/>
      <c r="R122" s="49"/>
      <c r="S122" s="49"/>
      <c r="T122" s="49"/>
      <c r="U122" s="49"/>
      <c r="V122" s="50"/>
      <c r="W122" s="31"/>
      <c r="X122" s="31"/>
      <c r="Y122" s="31"/>
      <c r="Z122" s="31"/>
      <c r="AA122" s="31"/>
    </row>
    <row r="123" spans="1:27" s="23" customFormat="1" ht="13.8">
      <c r="A123" s="19"/>
      <c r="B123" s="20"/>
      <c r="C123" s="20"/>
      <c r="D123" s="21"/>
      <c r="E123" s="22" t="s">
        <v>71</v>
      </c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7"/>
    <row r="125" spans="1:27">
      <c r="D125" s="49" t="s">
        <v>72</v>
      </c>
      <c r="E125" s="74" t="s">
        <v>73</v>
      </c>
      <c r="F125" s="35"/>
      <c r="L125" s="242">
        <v>0.73899999999999999</v>
      </c>
      <c r="M125" s="242">
        <v>0.68300000000000005</v>
      </c>
      <c r="N125" s="242">
        <v>0.67800000000000005</v>
      </c>
      <c r="O125" s="242">
        <v>0.65700000000000003</v>
      </c>
      <c r="P125" s="242">
        <v>0.65200000000000002</v>
      </c>
      <c r="Q125" s="75" t="s">
        <v>74</v>
      </c>
    </row>
    <row r="126" spans="1:27">
      <c r="D126" s="49" t="s">
        <v>72</v>
      </c>
      <c r="E126" s="74" t="s">
        <v>75</v>
      </c>
      <c r="F126" s="35"/>
      <c r="L126" s="242">
        <v>0</v>
      </c>
      <c r="M126" s="242">
        <v>0</v>
      </c>
      <c r="N126" s="242">
        <v>0</v>
      </c>
      <c r="O126" s="242">
        <v>0</v>
      </c>
      <c r="P126" s="242">
        <v>0</v>
      </c>
      <c r="Q126" s="75" t="s">
        <v>76</v>
      </c>
    </row>
    <row r="127" spans="1:27"/>
    <row r="128" spans="1:27" s="23" customFormat="1" ht="13.8">
      <c r="A128" s="19"/>
      <c r="B128" s="20"/>
      <c r="C128" s="20"/>
      <c r="D128" s="21"/>
      <c r="E128" s="22" t="s">
        <v>230</v>
      </c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/>
    <row r="130" spans="1:24">
      <c r="D130" s="49" t="s">
        <v>259</v>
      </c>
      <c r="E130" s="74" t="s">
        <v>257</v>
      </c>
      <c r="H130" s="242"/>
    </row>
    <row r="131" spans="1:24">
      <c r="D131" s="3" t="s">
        <v>58</v>
      </c>
      <c r="E131" s="74" t="s">
        <v>231</v>
      </c>
      <c r="F131" s="31"/>
      <c r="H131" s="69">
        <f>EffInc.Coeff.Water</f>
        <v>0.49359999999999993</v>
      </c>
    </row>
    <row r="132" spans="1:24" ht="12" customHeight="1">
      <c r="D132" s="49" t="s">
        <v>259</v>
      </c>
      <c r="E132" s="74" t="s">
        <v>232</v>
      </c>
      <c r="F132" s="31"/>
      <c r="H132" s="225">
        <f>AllExp.Coeff.Water/100</f>
        <v>1.008</v>
      </c>
    </row>
    <row r="133" spans="1:24" ht="14.4">
      <c r="E133" s="239"/>
      <c r="F133"/>
    </row>
    <row r="134" spans="1:24">
      <c r="D134" s="3" t="s">
        <v>85</v>
      </c>
      <c r="E134" s="74" t="s">
        <v>233</v>
      </c>
      <c r="F134" s="35" t="s">
        <v>14</v>
      </c>
      <c r="H134" s="31"/>
      <c r="L134" s="226"/>
      <c r="M134" s="226"/>
      <c r="N134" s="227">
        <v>0</v>
      </c>
      <c r="O134" s="227">
        <v>0</v>
      </c>
      <c r="P134" s="227">
        <v>0</v>
      </c>
      <c r="Q134" s="31"/>
      <c r="R134" s="31"/>
      <c r="S134" s="31"/>
      <c r="T134" s="31"/>
      <c r="U134" s="31"/>
      <c r="V134" s="31"/>
    </row>
    <row r="135" spans="1:24">
      <c r="D135" s="3" t="s">
        <v>85</v>
      </c>
      <c r="E135" s="74" t="s">
        <v>233</v>
      </c>
      <c r="F135" s="35" t="s">
        <v>234</v>
      </c>
      <c r="H135" s="31"/>
      <c r="L135" s="226"/>
      <c r="M135" s="226"/>
      <c r="N135" s="238">
        <f>N134*Indexation.Average</f>
        <v>0</v>
      </c>
      <c r="O135" s="238">
        <f>O134*Indexation.Average</f>
        <v>0</v>
      </c>
      <c r="P135" s="238">
        <f>P134*Indexation.Average</f>
        <v>0</v>
      </c>
      <c r="Q135" s="31"/>
      <c r="R135" s="31"/>
      <c r="S135" s="31"/>
      <c r="T135" s="31"/>
      <c r="U135" s="31"/>
      <c r="V135" s="31"/>
    </row>
    <row r="136" spans="1:24" customFormat="1" ht="14.4"/>
    <row r="137" spans="1:24">
      <c r="D137" s="3" t="s">
        <v>85</v>
      </c>
      <c r="E137" s="74" t="s">
        <v>235</v>
      </c>
      <c r="F137" s="35" t="s">
        <v>234</v>
      </c>
      <c r="H137" s="31"/>
      <c r="L137" s="226"/>
      <c r="M137" s="226"/>
      <c r="N137" s="227">
        <v>0</v>
      </c>
      <c r="O137" s="227">
        <v>0</v>
      </c>
      <c r="P137" s="227">
        <v>0</v>
      </c>
      <c r="Q137" s="31"/>
      <c r="R137" s="31"/>
      <c r="S137" s="31"/>
      <c r="T137" s="31"/>
      <c r="U137" s="31"/>
      <c r="V137" s="31"/>
    </row>
    <row r="138" spans="1:24">
      <c r="E138" s="31"/>
      <c r="F138" s="35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</row>
    <row r="139" spans="1:24">
      <c r="E139" s="55" t="s">
        <v>229</v>
      </c>
      <c r="F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</row>
    <row r="140" spans="1:24">
      <c r="D140" s="3" t="s">
        <v>85</v>
      </c>
      <c r="E140" s="34" t="s">
        <v>258</v>
      </c>
      <c r="F140" s="35" t="s">
        <v>234</v>
      </c>
      <c r="L140" s="226"/>
      <c r="M140" s="226"/>
      <c r="N140" s="125">
        <f>($H130-$H131)*(N137-(N135*$H132))</f>
        <v>0</v>
      </c>
      <c r="O140" s="125">
        <f t="shared" ref="O140:P140" si="3">($H130-$H131)*(O137-(O135*$H132))</f>
        <v>0</v>
      </c>
      <c r="P140" s="125">
        <f t="shared" si="3"/>
        <v>0</v>
      </c>
      <c r="Q140" s="75" t="s">
        <v>276</v>
      </c>
      <c r="R140" s="31"/>
      <c r="S140" s="31"/>
      <c r="T140" s="31"/>
      <c r="U140" s="31"/>
      <c r="V140" s="31"/>
    </row>
    <row r="141" spans="1:24">
      <c r="D141" s="3"/>
      <c r="E141" s="34"/>
      <c r="F141" s="35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</row>
    <row r="142" spans="1:24" s="23" customFormat="1" ht="13.8">
      <c r="A142" s="19"/>
      <c r="B142" s="20"/>
      <c r="C142" s="20"/>
      <c r="D142" s="21"/>
      <c r="E142" s="22" t="s">
        <v>279</v>
      </c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>
      <c r="D143" s="3"/>
      <c r="F143" s="35"/>
      <c r="H143" s="31"/>
      <c r="K143" s="47"/>
      <c r="L143" s="47"/>
      <c r="M143" s="47"/>
      <c r="N143" s="47"/>
      <c r="O143" s="47"/>
      <c r="P143" s="47"/>
      <c r="Q143" s="75"/>
      <c r="R143" s="31"/>
      <c r="S143" s="31"/>
      <c r="T143" s="31"/>
      <c r="U143" s="31"/>
      <c r="V143" s="31"/>
    </row>
    <row r="144" spans="1:24">
      <c r="D144" s="49" t="s">
        <v>259</v>
      </c>
      <c r="E144" s="74" t="s">
        <v>280</v>
      </c>
      <c r="F144" s="35"/>
      <c r="H144" s="257">
        <v>0.75</v>
      </c>
      <c r="K144" s="47"/>
      <c r="L144" s="47"/>
      <c r="M144" s="47"/>
      <c r="N144" s="47"/>
      <c r="O144" s="47"/>
      <c r="P144" s="47"/>
      <c r="Q144" s="75"/>
      <c r="R144" s="31"/>
      <c r="S144" s="31"/>
      <c r="T144" s="31"/>
      <c r="U144" s="31"/>
      <c r="V144" s="31"/>
    </row>
    <row r="145" spans="1:27">
      <c r="D145" s="3"/>
      <c r="F145" s="35"/>
      <c r="H145" s="31"/>
      <c r="K145" s="47"/>
      <c r="L145" s="31"/>
      <c r="M145" s="31"/>
      <c r="N145" s="31"/>
      <c r="O145" s="31"/>
      <c r="P145" s="31"/>
      <c r="Q145" s="75"/>
      <c r="R145" s="31"/>
      <c r="S145" s="31"/>
      <c r="T145" s="31"/>
      <c r="U145" s="31"/>
      <c r="V145" s="31"/>
    </row>
    <row r="146" spans="1:27">
      <c r="D146" s="3" t="s">
        <v>85</v>
      </c>
      <c r="E146" s="255" t="s">
        <v>277</v>
      </c>
      <c r="F146" s="35" t="s">
        <v>234</v>
      </c>
      <c r="H146" s="31"/>
      <c r="K146" s="47"/>
      <c r="L146" s="45">
        <v>0</v>
      </c>
      <c r="M146" s="45">
        <v>0</v>
      </c>
      <c r="N146" s="45">
        <v>0</v>
      </c>
      <c r="O146" s="45">
        <v>0</v>
      </c>
      <c r="P146" s="45">
        <v>0</v>
      </c>
      <c r="Q146" s="75"/>
      <c r="R146" s="31"/>
      <c r="S146" s="31"/>
      <c r="T146" s="31"/>
      <c r="U146" s="31"/>
      <c r="V146" s="31"/>
    </row>
    <row r="147" spans="1:27" ht="13.5" customHeight="1">
      <c r="D147" s="3" t="s">
        <v>85</v>
      </c>
      <c r="E147" s="256" t="s">
        <v>278</v>
      </c>
      <c r="F147" s="35" t="s">
        <v>234</v>
      </c>
      <c r="H147" s="31"/>
      <c r="K147" s="47"/>
      <c r="L147" s="125">
        <f>L146*$H144</f>
        <v>0</v>
      </c>
      <c r="M147" s="125">
        <f t="shared" ref="M147:P147" si="4">M146*$H144</f>
        <v>0</v>
      </c>
      <c r="N147" s="125">
        <f t="shared" si="4"/>
        <v>0</v>
      </c>
      <c r="O147" s="125">
        <f t="shared" si="4"/>
        <v>0</v>
      </c>
      <c r="P147" s="125">
        <f t="shared" si="4"/>
        <v>0</v>
      </c>
      <c r="Q147" s="75" t="s">
        <v>266</v>
      </c>
      <c r="R147" s="31"/>
      <c r="S147" s="31"/>
      <c r="T147" s="31"/>
      <c r="U147" s="31"/>
      <c r="V147" s="31"/>
    </row>
    <row r="148" spans="1:27">
      <c r="E148" s="31"/>
      <c r="F148" s="35"/>
      <c r="L148" s="31"/>
      <c r="M148" s="31"/>
      <c r="N148" s="31"/>
      <c r="O148" s="31"/>
      <c r="P148" s="31"/>
      <c r="Q148" s="75"/>
      <c r="R148" s="31"/>
      <c r="S148" s="31"/>
      <c r="T148" s="31"/>
      <c r="U148" s="31"/>
      <c r="V148" s="31"/>
    </row>
    <row r="149" spans="1:27" s="23" customFormat="1" ht="13.8">
      <c r="A149" s="19"/>
      <c r="B149" s="20"/>
      <c r="C149" s="20"/>
      <c r="D149" s="21"/>
      <c r="E149" s="22" t="s">
        <v>364</v>
      </c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7">
      <c r="D150" s="3"/>
      <c r="F150" s="35"/>
      <c r="H150" s="31"/>
      <c r="K150" s="47"/>
      <c r="L150" s="47"/>
      <c r="M150" s="47"/>
      <c r="N150" s="47"/>
      <c r="O150" s="47"/>
      <c r="P150" s="47"/>
      <c r="Q150" s="75"/>
      <c r="R150" s="31"/>
      <c r="S150" s="31"/>
      <c r="T150" s="31"/>
      <c r="U150" s="31"/>
      <c r="V150" s="31"/>
    </row>
    <row r="151" spans="1:27">
      <c r="D151" s="3" t="s">
        <v>85</v>
      </c>
      <c r="E151" s="255" t="s">
        <v>365</v>
      </c>
      <c r="F151" s="35" t="s">
        <v>14</v>
      </c>
      <c r="H151" s="31"/>
      <c r="K151" s="47"/>
      <c r="L151" s="37">
        <v>0</v>
      </c>
      <c r="M151" s="45">
        <v>0</v>
      </c>
      <c r="N151" s="45">
        <v>0</v>
      </c>
      <c r="O151" s="45">
        <v>0</v>
      </c>
      <c r="P151" s="45">
        <v>0</v>
      </c>
      <c r="Q151" s="75"/>
      <c r="R151" s="31"/>
      <c r="S151" s="31"/>
      <c r="T151" s="31"/>
      <c r="U151" s="31"/>
      <c r="V151" s="31"/>
    </row>
    <row r="152" spans="1:27" ht="13.8" thickBot="1">
      <c r="E152" s="31"/>
      <c r="F152" s="35"/>
      <c r="L152" s="31"/>
      <c r="M152" s="31"/>
      <c r="N152" s="31"/>
      <c r="O152" s="31"/>
      <c r="P152" s="31"/>
      <c r="Q152" s="75"/>
      <c r="R152" s="31"/>
      <c r="S152" s="31"/>
      <c r="T152" s="31"/>
      <c r="U152" s="31"/>
      <c r="V152" s="31"/>
    </row>
    <row r="153" spans="1:27" ht="13.8" thickBot="1">
      <c r="A153" s="76" t="s">
        <v>77</v>
      </c>
      <c r="B153" s="77"/>
      <c r="C153" s="78"/>
      <c r="D153" s="77"/>
      <c r="E153" s="79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80"/>
      <c r="W153" s="77"/>
      <c r="X153" s="77"/>
      <c r="Y153" s="77"/>
      <c r="Z153" s="77"/>
      <c r="AA153" s="77"/>
    </row>
    <row r="154" spans="1:27"/>
    <row r="155" spans="1:27" hidden="1"/>
    <row r="156" spans="1:27" hidden="1"/>
    <row r="157" spans="1:27" hidden="1"/>
    <row r="158" spans="1:27" hidden="1"/>
    <row r="159" spans="1:27" hidden="1"/>
    <row r="160" spans="1:27" hidden="1"/>
    <row r="161" spans="3:22" hidden="1"/>
    <row r="162" spans="3:22" hidden="1"/>
    <row r="163" spans="3:22" hidden="1"/>
    <row r="164" spans="3:22" s="258" customFormat="1" hidden="1">
      <c r="C164" s="271"/>
      <c r="E164" s="272"/>
      <c r="V164" s="259"/>
    </row>
    <row r="165" spans="3:22" s="258" customFormat="1" hidden="1">
      <c r="C165" s="271"/>
      <c r="E165" s="272"/>
      <c r="V165" s="259"/>
    </row>
  </sheetData>
  <conditionalFormatting sqref="K12:K13">
    <cfRule type="cellIs" dxfId="2" priority="1" operator="equal">
      <formula>TRUE</formula>
    </cfRule>
  </conditionalFormatting>
  <dataValidations count="3">
    <dataValidation type="list" allowBlank="1" showInputMessage="1" showErrorMessage="1" sqref="H13">
      <formula1>"Yes,No"</formula1>
    </dataValidation>
    <dataValidation type="list" allowBlank="1" showInputMessage="1" showErrorMessage="1" sqref="H12">
      <formula1>"WoC,WaSC"</formula1>
    </dataValidation>
    <dataValidation type="decimal" operator="greaterThanOrEqual" allowBlank="1" showInputMessage="1" showErrorMessage="1" sqref="L80:P80">
      <formula1>0</formula1>
    </dataValidation>
  </dataValidations>
  <pageMargins left="0.75" right="0.75" top="1" bottom="1" header="0.5" footer="0.5"/>
  <pageSetup paperSize="8" scale="51" fitToHeight="0" orientation="landscape" r:id="rId1"/>
  <headerFooter alignWithMargins="0"/>
  <ignoredErrors>
    <ignoredError sqref="I5:U5 H96:H104 O140:P140 N135:P136 H116:H126 N138:P139 H127 H113:H114 H106:H112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AM333"/>
  <sheetViews>
    <sheetView showGridLines="0" zoomScale="80" zoomScaleNormal="80" workbookViewId="0">
      <pane xSplit="6" ySplit="7" topLeftCell="I185" activePane="bottomRight" state="frozen"/>
      <selection activeCell="K53" sqref="K53"/>
      <selection pane="topRight" activeCell="K53" sqref="K53"/>
      <selection pane="bottomLeft" activeCell="K53" sqref="K53"/>
      <selection pane="bottomRight" activeCell="L162" sqref="L162"/>
    </sheetView>
  </sheetViews>
  <sheetFormatPr defaultColWidth="0" defaultRowHeight="13.2" zeroHeight="1"/>
  <cols>
    <col min="1" max="3" width="2.6640625" style="3" customWidth="1"/>
    <col min="4" max="4" width="9.44140625" style="246" bestFit="1" customWidth="1"/>
    <col min="5" max="5" width="75.109375" style="129" customWidth="1"/>
    <col min="6" max="6" width="20.44140625" style="129" customWidth="1"/>
    <col min="7" max="7" width="14.6640625" style="129" customWidth="1"/>
    <col min="8" max="8" width="14.33203125" style="3" customWidth="1"/>
    <col min="9" max="9" width="11.44140625" style="3" customWidth="1"/>
    <col min="10" max="10" width="11.6640625" style="3" customWidth="1"/>
    <col min="11" max="17" width="11.109375" style="3" customWidth="1"/>
    <col min="18" max="20" width="11.5546875" style="3" customWidth="1"/>
    <col min="21" max="21" width="9.5546875" style="3" customWidth="1"/>
    <col min="22" max="22" width="3.6640625" style="119" customWidth="1"/>
    <col min="23" max="23" width="106.109375" style="118" bestFit="1" customWidth="1"/>
    <col min="24" max="24" width="3.6640625" style="130" customWidth="1"/>
    <col min="25" max="25" width="13.6640625" style="118" hidden="1" customWidth="1"/>
    <col min="26" max="38" width="9.109375" style="118" hidden="1" customWidth="1"/>
    <col min="39" max="39" width="10.109375" style="118" hidden="1" customWidth="1"/>
    <col min="40" max="16384" width="9.109375" style="118" hidden="1"/>
  </cols>
  <sheetData>
    <row r="1" spans="1:29" s="2" customFormat="1" ht="33">
      <c r="A1" s="1"/>
      <c r="B1" s="1"/>
      <c r="C1" s="1"/>
      <c r="D1" s="244"/>
      <c r="E1" s="1" t="s">
        <v>78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9" ht="14.25" customHeight="1">
      <c r="A2" s="81"/>
      <c r="B2" s="82"/>
      <c r="C2" s="83"/>
      <c r="D2" s="84"/>
      <c r="E2" s="195"/>
      <c r="F2" s="195"/>
      <c r="G2" s="195"/>
      <c r="H2" s="85"/>
      <c r="I2" s="196"/>
      <c r="J2" s="196"/>
      <c r="K2" s="196"/>
      <c r="L2" s="196"/>
      <c r="M2" s="196"/>
      <c r="N2" s="196"/>
      <c r="O2" s="196"/>
      <c r="P2" s="196"/>
      <c r="Q2" s="196"/>
      <c r="U2" s="197"/>
      <c r="V2" s="196"/>
      <c r="W2" s="196"/>
      <c r="X2" s="86"/>
      <c r="Y2" s="87"/>
      <c r="Z2" s="87"/>
      <c r="AA2" s="87"/>
      <c r="AB2" s="87"/>
      <c r="AC2" s="87"/>
    </row>
    <row r="3" spans="1:29" ht="12.75" customHeight="1">
      <c r="A3" s="88"/>
      <c r="B3" s="89"/>
      <c r="C3" s="90"/>
      <c r="D3" s="91" t="s">
        <v>1</v>
      </c>
      <c r="E3" s="7" t="s">
        <v>1</v>
      </c>
      <c r="F3" s="8"/>
      <c r="G3" s="8"/>
      <c r="I3" s="9" t="str">
        <f t="shared" ref="I3:U3" si="0">AMP.Years</f>
        <v>2012-13</v>
      </c>
      <c r="J3" s="9" t="str">
        <f t="shared" si="0"/>
        <v>2013-14</v>
      </c>
      <c r="K3" s="9" t="str">
        <f t="shared" si="0"/>
        <v>2014-15</v>
      </c>
      <c r="L3" s="10" t="str">
        <f t="shared" si="0"/>
        <v>2015-16</v>
      </c>
      <c r="M3" s="10" t="str">
        <f t="shared" si="0"/>
        <v>2016-17</v>
      </c>
      <c r="N3" s="10" t="str">
        <f t="shared" si="0"/>
        <v>2017-18</v>
      </c>
      <c r="O3" s="10" t="str">
        <f t="shared" si="0"/>
        <v>2018-19</v>
      </c>
      <c r="P3" s="10" t="str">
        <f t="shared" si="0"/>
        <v>2019-20</v>
      </c>
      <c r="Q3" s="9" t="str">
        <f t="shared" si="0"/>
        <v>2020-21</v>
      </c>
      <c r="R3" s="9" t="str">
        <f t="shared" si="0"/>
        <v>2021-22</v>
      </c>
      <c r="S3" s="9" t="str">
        <f t="shared" si="0"/>
        <v>2022-23</v>
      </c>
      <c r="T3" s="9" t="str">
        <f t="shared" si="0"/>
        <v>2023-24</v>
      </c>
      <c r="U3" s="9" t="str">
        <f t="shared" si="0"/>
        <v>2024-25</v>
      </c>
      <c r="V3" s="87"/>
      <c r="W3" s="87"/>
      <c r="X3" s="87"/>
      <c r="Y3" s="87"/>
      <c r="Z3" s="87"/>
      <c r="AA3" s="92"/>
      <c r="AB3" s="93"/>
      <c r="AC3" s="93"/>
    </row>
    <row r="4" spans="1:29">
      <c r="A4" s="94"/>
      <c r="B4" s="95"/>
      <c r="C4" s="96"/>
      <c r="D4" s="97"/>
      <c r="E4" s="7"/>
      <c r="F4" s="3"/>
      <c r="G4" s="3"/>
      <c r="V4" s="98"/>
      <c r="W4" s="98"/>
      <c r="X4" s="99"/>
      <c r="Y4" s="100"/>
      <c r="Z4" s="100"/>
      <c r="AA4" s="92"/>
      <c r="AB4" s="93"/>
      <c r="AC4" s="93"/>
    </row>
    <row r="5" spans="1:29" s="198" customFormat="1">
      <c r="A5" s="101"/>
      <c r="B5" s="95"/>
      <c r="C5" s="102"/>
      <c r="D5" s="97" t="s">
        <v>27</v>
      </c>
      <c r="E5" s="7" t="s">
        <v>2</v>
      </c>
      <c r="F5" s="13"/>
      <c r="G5" s="13"/>
      <c r="I5" s="13">
        <f t="shared" ref="I5:U5" si="1">Calendar.Years</f>
        <v>2012</v>
      </c>
      <c r="J5" s="13">
        <f t="shared" si="1"/>
        <v>2013</v>
      </c>
      <c r="K5" s="13">
        <f t="shared" si="1"/>
        <v>2014</v>
      </c>
      <c r="L5" s="13">
        <f t="shared" si="1"/>
        <v>2015</v>
      </c>
      <c r="M5" s="13">
        <f t="shared" si="1"/>
        <v>2016</v>
      </c>
      <c r="N5" s="13">
        <f t="shared" si="1"/>
        <v>2017</v>
      </c>
      <c r="O5" s="13">
        <f t="shared" si="1"/>
        <v>2018</v>
      </c>
      <c r="P5" s="13">
        <f t="shared" si="1"/>
        <v>2019</v>
      </c>
      <c r="Q5" s="13">
        <f t="shared" si="1"/>
        <v>2020</v>
      </c>
      <c r="R5" s="13">
        <f t="shared" si="1"/>
        <v>2021</v>
      </c>
      <c r="S5" s="13">
        <f t="shared" si="1"/>
        <v>2022</v>
      </c>
      <c r="T5" s="13">
        <f t="shared" si="1"/>
        <v>2023</v>
      </c>
      <c r="U5" s="13">
        <f t="shared" si="1"/>
        <v>2024</v>
      </c>
      <c r="V5" s="93"/>
      <c r="W5" s="93"/>
      <c r="X5" s="99"/>
      <c r="Y5" s="100"/>
      <c r="Z5" s="100"/>
      <c r="AA5" s="103"/>
      <c r="AB5" s="93"/>
      <c r="AC5" s="93"/>
    </row>
    <row r="6" spans="1:29" ht="12.75" customHeight="1">
      <c r="C6" s="199"/>
      <c r="D6" s="245"/>
      <c r="E6" s="7" t="s">
        <v>3</v>
      </c>
      <c r="F6" s="13"/>
      <c r="G6" s="13"/>
      <c r="I6" s="16">
        <v>-2</v>
      </c>
      <c r="J6" s="16">
        <v>-1</v>
      </c>
      <c r="K6" s="16">
        <v>0</v>
      </c>
      <c r="L6" s="218">
        <v>1</v>
      </c>
      <c r="M6" s="16">
        <v>2</v>
      </c>
      <c r="N6" s="16">
        <v>3</v>
      </c>
      <c r="O6" s="16">
        <v>4</v>
      </c>
      <c r="P6" s="16">
        <v>5</v>
      </c>
      <c r="Q6" s="16">
        <v>6</v>
      </c>
      <c r="R6" s="16">
        <v>7</v>
      </c>
      <c r="S6" s="16">
        <v>8</v>
      </c>
      <c r="T6" s="16">
        <v>9</v>
      </c>
      <c r="U6" s="16">
        <v>10</v>
      </c>
      <c r="W6" s="209" t="s">
        <v>343</v>
      </c>
      <c r="X6" s="104"/>
    </row>
    <row r="7" spans="1:29" s="3" customFormat="1" ht="12.75" customHeight="1">
      <c r="D7" s="246"/>
      <c r="E7" s="3" t="s">
        <v>245</v>
      </c>
      <c r="L7" s="241">
        <v>4</v>
      </c>
      <c r="M7" s="241">
        <v>3</v>
      </c>
      <c r="N7" s="241">
        <v>2</v>
      </c>
      <c r="O7" s="241">
        <v>1</v>
      </c>
      <c r="P7" s="241">
        <v>0</v>
      </c>
    </row>
    <row r="8" spans="1:29" s="3" customFormat="1" ht="12.75" customHeight="1">
      <c r="D8" s="246"/>
      <c r="L8" s="241"/>
      <c r="M8" s="241"/>
      <c r="N8" s="241"/>
      <c r="O8" s="241"/>
      <c r="P8" s="241"/>
    </row>
    <row r="9" spans="1:29" s="23" customFormat="1" ht="13.8">
      <c r="A9" s="20"/>
      <c r="B9" s="20"/>
      <c r="C9" s="20"/>
      <c r="D9" s="247"/>
      <c r="E9" s="22" t="s">
        <v>79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9" s="105" customFormat="1">
      <c r="C10" s="106"/>
      <c r="D10" s="107"/>
      <c r="E10" s="107"/>
      <c r="F10" s="107"/>
      <c r="G10" s="107"/>
      <c r="H10" s="106"/>
      <c r="I10" s="106"/>
      <c r="J10" s="106"/>
      <c r="K10" s="106"/>
      <c r="L10" s="106"/>
      <c r="M10" s="106"/>
      <c r="N10" s="106"/>
      <c r="O10" s="106"/>
      <c r="P10" s="106"/>
      <c r="Q10" s="119"/>
      <c r="R10" s="3"/>
      <c r="S10" s="3"/>
      <c r="T10" s="3"/>
      <c r="U10" s="108"/>
      <c r="V10" s="106"/>
      <c r="W10" s="106"/>
      <c r="X10" s="109"/>
    </row>
    <row r="11" spans="1:29" s="23" customFormat="1" ht="13.8">
      <c r="A11" s="20"/>
      <c r="B11" s="20"/>
      <c r="C11" s="20"/>
      <c r="D11" s="247"/>
      <c r="E11" s="22" t="s">
        <v>304</v>
      </c>
      <c r="F11" s="220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</row>
    <row r="12" spans="1:29" s="105" customFormat="1">
      <c r="C12" s="106"/>
      <c r="D12" s="249"/>
      <c r="E12" s="63"/>
      <c r="F12" s="110"/>
      <c r="G12" s="110"/>
      <c r="H12" s="106"/>
      <c r="I12" s="112"/>
      <c r="J12" s="112"/>
      <c r="K12" s="112"/>
      <c r="L12" s="112"/>
      <c r="M12" s="112"/>
      <c r="N12" s="112"/>
      <c r="O12" s="112"/>
      <c r="P12" s="112"/>
      <c r="Q12" s="119"/>
      <c r="R12" s="3"/>
      <c r="S12" s="3"/>
      <c r="T12" s="3"/>
      <c r="V12" s="106"/>
      <c r="W12" s="106"/>
      <c r="X12" s="109"/>
    </row>
    <row r="13" spans="1:29" s="105" customFormat="1">
      <c r="C13" s="106"/>
      <c r="D13" s="248"/>
      <c r="E13" s="111" t="s">
        <v>206</v>
      </c>
      <c r="F13" s="110"/>
      <c r="G13" s="110"/>
      <c r="H13" s="106"/>
      <c r="I13" s="112"/>
      <c r="J13" s="112"/>
      <c r="K13" s="112"/>
      <c r="L13" s="112"/>
      <c r="M13" s="112"/>
      <c r="N13" s="112"/>
      <c r="O13" s="112"/>
      <c r="P13" s="112"/>
      <c r="Q13" s="119"/>
      <c r="R13" s="3"/>
      <c r="S13" s="3"/>
      <c r="T13" s="3"/>
      <c r="V13" s="106"/>
      <c r="W13" s="106"/>
      <c r="X13" s="109"/>
    </row>
    <row r="14" spans="1:29" s="105" customFormat="1">
      <c r="C14" s="106"/>
      <c r="D14" s="248" t="s">
        <v>13</v>
      </c>
      <c r="E14" s="34" t="s">
        <v>80</v>
      </c>
      <c r="F14" s="35" t="s">
        <v>14</v>
      </c>
      <c r="G14" s="110"/>
      <c r="H14" s="106"/>
      <c r="I14" s="112"/>
      <c r="J14" s="112"/>
      <c r="K14" s="112"/>
      <c r="L14" s="56">
        <f>Actual.Totex.Water/Indexation.Average</f>
        <v>75.602320209270971</v>
      </c>
      <c r="M14" s="56">
        <f>Actual.Totex.Water/Indexation.Average</f>
        <v>79.05359602138752</v>
      </c>
      <c r="N14" s="56">
        <f>Actual.Totex.Water/Indexation.Average</f>
        <v>84.79389619797773</v>
      </c>
      <c r="O14" s="56">
        <f>Actual.Totex.Water/Indexation.Average</f>
        <v>83.605916022001921</v>
      </c>
      <c r="P14" s="56">
        <f>Actual.Totex.Water/Indexation.Average</f>
        <v>80.069630764172132</v>
      </c>
      <c r="Q14" s="119"/>
      <c r="R14" s="3"/>
      <c r="S14" s="3"/>
      <c r="T14" s="3"/>
      <c r="V14" s="106"/>
      <c r="W14" s="106"/>
      <c r="X14" s="109"/>
    </row>
    <row r="15" spans="1:29" s="105" customFormat="1">
      <c r="C15" s="106"/>
      <c r="D15" s="248" t="s">
        <v>13</v>
      </c>
      <c r="E15" s="34" t="s">
        <v>82</v>
      </c>
      <c r="F15" s="35" t="s">
        <v>14</v>
      </c>
      <c r="G15" s="110"/>
      <c r="H15" s="106"/>
      <c r="I15" s="112"/>
      <c r="J15" s="112"/>
      <c r="K15" s="112"/>
      <c r="L15" s="56">
        <f>Actual.Totex.Sewerage/Indexation.Average</f>
        <v>0</v>
      </c>
      <c r="M15" s="56">
        <f>Actual.Totex.Sewerage/Indexation.Average</f>
        <v>0</v>
      </c>
      <c r="N15" s="56">
        <f>Actual.Totex.Sewerage/Indexation.Average</f>
        <v>0</v>
      </c>
      <c r="O15" s="56">
        <f>Actual.Totex.Sewerage/Indexation.Average</f>
        <v>0</v>
      </c>
      <c r="P15" s="56">
        <f>Actual.Totex.Sewerage/Indexation.Average</f>
        <v>0</v>
      </c>
      <c r="Q15" s="119"/>
      <c r="R15" s="3"/>
      <c r="S15" s="3"/>
      <c r="T15" s="3"/>
      <c r="V15" s="106"/>
      <c r="W15" s="106"/>
      <c r="X15" s="109"/>
    </row>
    <row r="16" spans="1:29" s="105" customFormat="1">
      <c r="C16" s="106"/>
      <c r="D16" s="248"/>
      <c r="E16" s="34"/>
      <c r="F16" s="35"/>
      <c r="G16" s="110"/>
      <c r="H16" s="106"/>
      <c r="I16" s="112"/>
      <c r="J16" s="112"/>
      <c r="K16" s="112"/>
      <c r="L16" s="56"/>
      <c r="M16" s="56"/>
      <c r="N16" s="56"/>
      <c r="O16" s="56"/>
      <c r="P16" s="56"/>
      <c r="Q16" s="119"/>
      <c r="R16" s="3"/>
      <c r="S16" s="3"/>
      <c r="T16" s="3"/>
      <c r="V16" s="106"/>
      <c r="W16" s="106"/>
      <c r="X16" s="109"/>
    </row>
    <row r="17" spans="1:24" s="105" customFormat="1">
      <c r="C17" s="106"/>
      <c r="D17" s="248"/>
      <c r="E17" s="111" t="s">
        <v>220</v>
      </c>
      <c r="F17" s="110"/>
      <c r="G17" s="110"/>
      <c r="H17" s="106"/>
      <c r="I17" s="112"/>
      <c r="J17" s="112"/>
      <c r="K17" s="112"/>
      <c r="L17" s="112"/>
      <c r="M17" s="112"/>
      <c r="N17" s="112"/>
      <c r="O17" s="112"/>
      <c r="P17" s="112"/>
      <c r="Q17" s="119"/>
      <c r="R17" s="3"/>
      <c r="S17" s="3"/>
      <c r="T17" s="3"/>
      <c r="V17" s="106"/>
      <c r="W17" s="106"/>
      <c r="X17" s="109"/>
    </row>
    <row r="18" spans="1:24" s="105" customFormat="1">
      <c r="C18" s="106"/>
      <c r="D18" s="248" t="s">
        <v>13</v>
      </c>
      <c r="E18" s="34" t="s">
        <v>209</v>
      </c>
      <c r="F18" s="35" t="s">
        <v>14</v>
      </c>
      <c r="G18" s="110"/>
      <c r="H18" s="106"/>
      <c r="I18" s="112"/>
      <c r="J18" s="112"/>
      <c r="K18" s="112"/>
      <c r="L18" s="56">
        <f>SUM(INDEX(Actual.Exclusions.Water,,L6))/Indexation.Average</f>
        <v>3.0290217663882713</v>
      </c>
      <c r="M18" s="56">
        <f>SUM(INDEX(Actual.Exclusions.Water,,M6))/Indexation.Average</f>
        <v>3.0294487562501957</v>
      </c>
      <c r="N18" s="56">
        <f>SUM(INDEX(Actual.Exclusions.Water,,N6))/Indexation.Average</f>
        <v>2.8624927198511601</v>
      </c>
      <c r="O18" s="56">
        <f>SUM(INDEX(Actual.Exclusions.Water,,O6))/Indexation.Average</f>
        <v>2.7705411653969465</v>
      </c>
      <c r="P18" s="56">
        <f>SUM(INDEX(Actual.Exclusions.Water,,P6))/Indexation.Average</f>
        <v>2.2991544188472655</v>
      </c>
      <c r="Q18" s="119"/>
      <c r="R18" s="3"/>
      <c r="S18" s="3"/>
      <c r="T18" s="3"/>
      <c r="V18" s="106"/>
      <c r="W18" s="106"/>
      <c r="X18" s="109"/>
    </row>
    <row r="19" spans="1:24" s="105" customFormat="1">
      <c r="C19" s="106"/>
      <c r="D19" s="248" t="s">
        <v>13</v>
      </c>
      <c r="E19" s="34" t="s">
        <v>210</v>
      </c>
      <c r="F19" s="35" t="s">
        <v>14</v>
      </c>
      <c r="G19" s="110"/>
      <c r="H19" s="106"/>
      <c r="I19" s="112"/>
      <c r="J19" s="112"/>
      <c r="K19" s="112"/>
      <c r="L19" s="298">
        <f>SUM(Inputs!L66:L72)/Indexation.Average</f>
        <v>0</v>
      </c>
      <c r="M19" s="298">
        <f>SUM(Inputs!M66:M72)/Indexation.Average</f>
        <v>0</v>
      </c>
      <c r="N19" s="298">
        <f>SUM(Inputs!N66:N72)/Indexation.Average</f>
        <v>0</v>
      </c>
      <c r="O19" s="298">
        <f>SUM(Inputs!O66:O72)/Indexation.Average</f>
        <v>0</v>
      </c>
      <c r="P19" s="298">
        <f>SUM(Inputs!P66:P72)/Indexation.Average</f>
        <v>0</v>
      </c>
      <c r="Q19" s="119"/>
      <c r="R19" s="3"/>
      <c r="S19" s="3"/>
      <c r="T19" s="3"/>
      <c r="V19" s="106"/>
      <c r="W19" s="106"/>
      <c r="X19" s="109"/>
    </row>
    <row r="20" spans="1:24" s="105" customFormat="1">
      <c r="C20" s="106"/>
      <c r="D20" s="249"/>
      <c r="E20" s="63"/>
      <c r="F20" s="110"/>
      <c r="G20" s="110"/>
      <c r="H20" s="106"/>
      <c r="I20" s="112"/>
      <c r="J20" s="112"/>
      <c r="K20" s="112"/>
      <c r="L20" s="112"/>
      <c r="M20" s="112"/>
      <c r="N20" s="112"/>
      <c r="O20" s="112"/>
      <c r="P20" s="112"/>
      <c r="Q20" s="119"/>
      <c r="R20" s="3"/>
      <c r="S20" s="3"/>
      <c r="T20" s="3"/>
      <c r="V20" s="106"/>
      <c r="W20" s="106"/>
      <c r="X20" s="109"/>
    </row>
    <row r="21" spans="1:24" s="105" customFormat="1">
      <c r="C21" s="106"/>
      <c r="D21" s="248"/>
      <c r="E21" s="111" t="s">
        <v>309</v>
      </c>
      <c r="F21" s="110"/>
      <c r="G21" s="110"/>
      <c r="H21" s="106"/>
      <c r="I21" s="112"/>
      <c r="J21" s="112"/>
      <c r="K21" s="112"/>
      <c r="L21" s="112"/>
      <c r="M21" s="112"/>
      <c r="N21" s="112"/>
      <c r="O21" s="112"/>
      <c r="P21" s="112"/>
      <c r="Q21" s="119"/>
      <c r="R21" s="3"/>
      <c r="S21" s="3"/>
      <c r="T21" s="3"/>
      <c r="V21" s="106"/>
      <c r="W21" s="106"/>
      <c r="X21" s="109"/>
    </row>
    <row r="22" spans="1:24" s="261" customFormat="1">
      <c r="A22" s="105"/>
      <c r="B22" s="105"/>
      <c r="C22" s="106"/>
      <c r="D22" s="248" t="s">
        <v>13</v>
      </c>
      <c r="E22" s="34" t="str">
        <f>Inputs!E75</f>
        <v xml:space="preserve">Water: Transition expenditure </v>
      </c>
      <c r="F22" s="35" t="s">
        <v>14</v>
      </c>
      <c r="G22" s="110"/>
      <c r="H22" s="106"/>
      <c r="I22" s="112"/>
      <c r="J22" s="112"/>
      <c r="K22" s="112"/>
      <c r="L22" s="56">
        <f>TransitionExp.Water</f>
        <v>0</v>
      </c>
      <c r="M22" s="56"/>
      <c r="N22" s="56"/>
      <c r="O22" s="56"/>
      <c r="P22" s="56"/>
      <c r="Q22" s="119"/>
      <c r="R22" s="118"/>
      <c r="S22" s="118"/>
      <c r="T22" s="118"/>
      <c r="U22" s="105"/>
      <c r="V22" s="106"/>
      <c r="W22" s="106"/>
      <c r="X22" s="109"/>
    </row>
    <row r="23" spans="1:24" s="261" customFormat="1">
      <c r="A23" s="105"/>
      <c r="B23" s="105"/>
      <c r="C23" s="106"/>
      <c r="D23" s="248" t="s">
        <v>13</v>
      </c>
      <c r="E23" s="34" t="str">
        <f>Inputs!E78</f>
        <v xml:space="preserve">Sewerage: Transition expenditure </v>
      </c>
      <c r="F23" s="35" t="s">
        <v>14</v>
      </c>
      <c r="G23" s="110"/>
      <c r="H23" s="106"/>
      <c r="I23" s="112"/>
      <c r="J23" s="112"/>
      <c r="K23" s="112"/>
      <c r="L23" s="56">
        <f>TransitionExp.Sewerage</f>
        <v>0</v>
      </c>
      <c r="M23" s="56"/>
      <c r="N23" s="56"/>
      <c r="O23" s="56"/>
      <c r="P23" s="56"/>
      <c r="Q23" s="119"/>
      <c r="R23" s="118"/>
      <c r="S23" s="118"/>
      <c r="T23" s="118"/>
      <c r="U23" s="105"/>
      <c r="V23" s="106"/>
      <c r="W23" s="106"/>
      <c r="X23" s="109"/>
    </row>
    <row r="24" spans="1:24" s="105" customFormat="1">
      <c r="C24" s="106"/>
      <c r="D24" s="249"/>
      <c r="E24" s="63"/>
      <c r="F24" s="110"/>
      <c r="G24" s="110"/>
      <c r="H24" s="106"/>
      <c r="I24" s="112"/>
      <c r="J24" s="112"/>
      <c r="K24" s="112"/>
      <c r="L24" s="112"/>
      <c r="M24" s="112"/>
      <c r="N24" s="112"/>
      <c r="O24" s="112"/>
      <c r="P24" s="112"/>
      <c r="Q24" s="119"/>
      <c r="R24" s="118"/>
      <c r="S24" s="118"/>
      <c r="T24" s="118"/>
      <c r="V24" s="106"/>
      <c r="W24" s="106"/>
      <c r="X24" s="109"/>
    </row>
    <row r="25" spans="1:24" s="105" customFormat="1">
      <c r="C25" s="106"/>
      <c r="D25" s="248"/>
      <c r="E25" s="111" t="s">
        <v>308</v>
      </c>
      <c r="F25" s="110"/>
      <c r="G25" s="110"/>
      <c r="H25" s="106"/>
      <c r="I25" s="112"/>
      <c r="J25" s="112"/>
      <c r="K25" s="112"/>
      <c r="L25" s="112"/>
      <c r="M25" s="112"/>
      <c r="N25" s="112"/>
      <c r="O25" s="112"/>
      <c r="P25" s="112"/>
      <c r="Q25" s="119"/>
      <c r="R25" s="118"/>
      <c r="S25" s="118"/>
      <c r="T25" s="118"/>
      <c r="V25" s="106"/>
      <c r="W25" s="106"/>
      <c r="X25" s="109"/>
    </row>
    <row r="26" spans="1:24" s="261" customFormat="1">
      <c r="A26" s="105"/>
      <c r="B26" s="105"/>
      <c r="C26" s="106"/>
      <c r="D26" s="292"/>
      <c r="E26" s="293"/>
      <c r="F26" s="294"/>
      <c r="G26" s="289"/>
      <c r="H26" s="290"/>
      <c r="I26" s="299"/>
      <c r="J26" s="299"/>
      <c r="K26" s="299"/>
      <c r="L26" s="298"/>
      <c r="M26" s="298"/>
      <c r="N26" s="298"/>
      <c r="O26" s="298"/>
      <c r="P26" s="298"/>
      <c r="Q26" s="119"/>
      <c r="R26" s="118"/>
      <c r="S26" s="118"/>
      <c r="T26" s="118"/>
      <c r="U26" s="105"/>
      <c r="V26" s="106"/>
      <c r="W26" s="106"/>
      <c r="X26" s="109"/>
    </row>
    <row r="27" spans="1:24" s="261" customFormat="1">
      <c r="A27" s="105"/>
      <c r="B27" s="105"/>
      <c r="C27" s="106"/>
      <c r="D27" s="292"/>
      <c r="E27" s="293"/>
      <c r="F27" s="294"/>
      <c r="G27" s="289"/>
      <c r="H27" s="290"/>
      <c r="I27" s="299"/>
      <c r="J27" s="299"/>
      <c r="K27" s="299"/>
      <c r="L27" s="298"/>
      <c r="M27" s="298"/>
      <c r="N27" s="298"/>
      <c r="O27" s="298"/>
      <c r="P27" s="298"/>
      <c r="Q27" s="119"/>
      <c r="R27" s="118"/>
      <c r="S27" s="118"/>
      <c r="T27" s="118"/>
      <c r="U27" s="105"/>
      <c r="V27" s="106"/>
      <c r="W27" s="106"/>
      <c r="X27" s="109"/>
    </row>
    <row r="28" spans="1:24" s="105" customFormat="1">
      <c r="C28" s="106"/>
      <c r="D28" s="249"/>
      <c r="E28" s="63"/>
      <c r="F28" s="110"/>
      <c r="G28" s="110"/>
      <c r="H28" s="106"/>
      <c r="I28" s="112"/>
      <c r="J28" s="112"/>
      <c r="K28" s="112"/>
      <c r="L28" s="112"/>
      <c r="M28" s="112"/>
      <c r="N28" s="112"/>
      <c r="O28" s="112"/>
      <c r="P28" s="112"/>
      <c r="Q28" s="119"/>
      <c r="R28" s="3"/>
      <c r="S28" s="3"/>
      <c r="T28" s="3"/>
      <c r="V28" s="106"/>
      <c r="W28" s="106"/>
      <c r="X28" s="109"/>
    </row>
    <row r="29" spans="1:24" s="105" customFormat="1">
      <c r="C29" s="106"/>
      <c r="D29" s="248"/>
      <c r="E29" s="111" t="s">
        <v>224</v>
      </c>
      <c r="F29" s="110"/>
      <c r="G29" s="110"/>
      <c r="H29" s="106"/>
      <c r="I29" s="112"/>
      <c r="J29" s="112"/>
      <c r="K29" s="112"/>
      <c r="L29" s="112"/>
      <c r="M29" s="112"/>
      <c r="N29" s="112"/>
      <c r="O29" s="112"/>
      <c r="P29" s="112"/>
      <c r="Q29" s="119"/>
      <c r="R29" s="3"/>
      <c r="S29" s="3"/>
      <c r="T29" s="3"/>
      <c r="V29" s="106"/>
      <c r="W29" s="106"/>
      <c r="X29" s="109"/>
    </row>
    <row r="30" spans="1:24" s="105" customFormat="1">
      <c r="C30" s="106"/>
      <c r="D30" s="248" t="s">
        <v>13</v>
      </c>
      <c r="E30" s="34" t="s">
        <v>225</v>
      </c>
      <c r="F30" s="35" t="s">
        <v>14</v>
      </c>
      <c r="G30" s="110"/>
      <c r="H30" s="106"/>
      <c r="I30" s="112"/>
      <c r="J30" s="112"/>
      <c r="K30" s="112"/>
      <c r="L30" s="298">
        <f>L14-L18+L22</f>
        <v>72.573298442882702</v>
      </c>
      <c r="M30" s="298">
        <f t="shared" ref="M30:P30" si="2">M14-M18+M22</f>
        <v>76.02414726513733</v>
      </c>
      <c r="N30" s="298">
        <f t="shared" si="2"/>
        <v>81.931403478126569</v>
      </c>
      <c r="O30" s="298">
        <f>O14-O18+O22</f>
        <v>80.835374856604972</v>
      </c>
      <c r="P30" s="298">
        <f t="shared" si="2"/>
        <v>77.770476345324866</v>
      </c>
      <c r="Q30" s="116" t="s">
        <v>254</v>
      </c>
      <c r="R30" s="3"/>
      <c r="S30" s="3"/>
      <c r="T30" s="3"/>
      <c r="V30" s="106"/>
      <c r="W30" s="106"/>
      <c r="X30" s="109"/>
    </row>
    <row r="31" spans="1:24" s="105" customFormat="1">
      <c r="C31" s="106"/>
      <c r="D31" s="248" t="s">
        <v>13</v>
      </c>
      <c r="E31" s="34" t="s">
        <v>226</v>
      </c>
      <c r="F31" s="35" t="s">
        <v>14</v>
      </c>
      <c r="G31" s="110"/>
      <c r="H31" s="106"/>
      <c r="I31" s="112"/>
      <c r="J31" s="112"/>
      <c r="K31" s="112"/>
      <c r="L31" s="298">
        <f>L15-L19+L23</f>
        <v>0</v>
      </c>
      <c r="M31" s="298">
        <f t="shared" ref="M31:P31" si="3">M15-M19+M23</f>
        <v>0</v>
      </c>
      <c r="N31" s="298">
        <f t="shared" si="3"/>
        <v>0</v>
      </c>
      <c r="O31" s="298">
        <f t="shared" si="3"/>
        <v>0</v>
      </c>
      <c r="P31" s="298">
        <f t="shared" si="3"/>
        <v>0</v>
      </c>
      <c r="Q31" s="116" t="s">
        <v>255</v>
      </c>
      <c r="R31" s="3"/>
      <c r="S31" s="3"/>
      <c r="T31" s="3"/>
      <c r="V31" s="106"/>
      <c r="W31" s="106"/>
      <c r="X31" s="109"/>
    </row>
    <row r="32" spans="1:24" s="105" customFormat="1">
      <c r="C32" s="106"/>
      <c r="D32" s="248" t="s">
        <v>13</v>
      </c>
      <c r="E32" s="216" t="s">
        <v>227</v>
      </c>
      <c r="F32" s="35" t="s">
        <v>14</v>
      </c>
      <c r="G32" s="110"/>
      <c r="H32" s="106"/>
      <c r="I32" s="112"/>
      <c r="J32" s="112"/>
      <c r="K32" s="112"/>
      <c r="L32" s="114">
        <f>SUM(L30:L31)</f>
        <v>72.573298442882702</v>
      </c>
      <c r="M32" s="114">
        <f>SUM(M30:M31)</f>
        <v>76.02414726513733</v>
      </c>
      <c r="N32" s="114">
        <f t="shared" ref="N32:P32" si="4">SUM(N30:N31)</f>
        <v>81.931403478126569</v>
      </c>
      <c r="O32" s="114">
        <f t="shared" si="4"/>
        <v>80.835374856604972</v>
      </c>
      <c r="P32" s="114">
        <f t="shared" si="4"/>
        <v>77.770476345324866</v>
      </c>
      <c r="Q32" s="116" t="s">
        <v>256</v>
      </c>
      <c r="R32" s="3"/>
      <c r="S32" s="3"/>
      <c r="T32" s="3"/>
      <c r="V32" s="106"/>
      <c r="W32" s="106"/>
      <c r="X32" s="109"/>
    </row>
    <row r="33" spans="1:24" s="105" customFormat="1">
      <c r="C33" s="106"/>
      <c r="D33" s="248"/>
      <c r="E33" s="41"/>
      <c r="F33" s="41"/>
      <c r="G33" s="41"/>
      <c r="H33" s="117"/>
      <c r="I33" s="112"/>
      <c r="J33" s="112"/>
      <c r="K33" s="112"/>
      <c r="L33" s="56"/>
      <c r="M33" s="56"/>
      <c r="N33" s="56"/>
      <c r="O33" s="56"/>
      <c r="P33" s="56"/>
      <c r="Q33" s="119"/>
      <c r="R33" s="3"/>
      <c r="S33" s="3"/>
      <c r="T33" s="3"/>
      <c r="V33" s="106"/>
      <c r="W33" s="106"/>
      <c r="X33" s="109"/>
    </row>
    <row r="34" spans="1:24" s="23" customFormat="1" ht="13.8">
      <c r="A34" s="20"/>
      <c r="B34" s="20"/>
      <c r="C34" s="20"/>
      <c r="D34" s="247"/>
      <c r="E34" s="22" t="s">
        <v>84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s="105" customFormat="1" ht="10.5" customHeight="1">
      <c r="A35" s="118"/>
      <c r="B35" s="118"/>
      <c r="C35" s="119"/>
      <c r="D35" s="248"/>
      <c r="E35" s="41"/>
      <c r="F35" s="41"/>
      <c r="G35" s="41"/>
      <c r="H35" s="117"/>
      <c r="I35" s="120"/>
      <c r="J35" s="120"/>
      <c r="K35" s="120"/>
      <c r="L35" s="120"/>
      <c r="M35" s="120"/>
      <c r="N35" s="120"/>
      <c r="O35" s="120"/>
      <c r="P35" s="120"/>
      <c r="Q35" s="119"/>
      <c r="R35" s="3"/>
      <c r="S35" s="3"/>
      <c r="T35" s="3"/>
      <c r="V35" s="106"/>
      <c r="W35" s="106"/>
      <c r="X35" s="109"/>
    </row>
    <row r="36" spans="1:24" s="23" customFormat="1" ht="13.8">
      <c r="A36" s="20"/>
      <c r="B36" s="20"/>
      <c r="C36" s="20"/>
      <c r="D36" s="247"/>
      <c r="E36" s="22" t="s">
        <v>285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s="3" customFormat="1">
      <c r="D37" s="246"/>
    </row>
    <row r="38" spans="1:24" s="105" customFormat="1">
      <c r="A38" s="118"/>
      <c r="B38" s="118"/>
      <c r="C38" s="119"/>
      <c r="D38" s="248"/>
      <c r="E38" s="113" t="s">
        <v>88</v>
      </c>
      <c r="F38" s="41"/>
      <c r="G38" s="41"/>
      <c r="H38" s="117"/>
      <c r="I38" s="121"/>
      <c r="J38" s="121"/>
      <c r="K38" s="122"/>
      <c r="L38" s="120"/>
      <c r="M38" s="120"/>
      <c r="N38" s="120"/>
      <c r="O38" s="120"/>
      <c r="P38" s="120"/>
      <c r="Q38" s="119"/>
      <c r="R38" s="3"/>
      <c r="S38" s="3"/>
      <c r="T38" s="3"/>
      <c r="V38" s="106"/>
      <c r="W38" s="106"/>
      <c r="X38" s="109"/>
    </row>
    <row r="39" spans="1:24" s="105" customFormat="1">
      <c r="A39" s="118"/>
      <c r="B39" s="118"/>
      <c r="C39" s="119"/>
      <c r="D39" s="250" t="s">
        <v>72</v>
      </c>
      <c r="E39" s="115" t="s">
        <v>89</v>
      </c>
      <c r="F39" s="41"/>
      <c r="G39" s="124">
        <f>Company.Baseline+Company.Slope*(UB.Chosen-100)</f>
        <v>0.44</v>
      </c>
      <c r="H39" s="126" t="s">
        <v>90</v>
      </c>
      <c r="I39" s="121"/>
      <c r="J39" s="121"/>
      <c r="K39" s="122"/>
      <c r="L39" s="120"/>
      <c r="M39" s="120"/>
      <c r="N39" s="120"/>
      <c r="O39" s="120"/>
      <c r="P39" s="120"/>
      <c r="Q39" s="119"/>
      <c r="R39" s="3"/>
      <c r="S39" s="3"/>
      <c r="T39" s="3"/>
      <c r="V39" s="106"/>
      <c r="W39" s="106"/>
      <c r="X39" s="109"/>
    </row>
    <row r="40" spans="1:24" s="105" customFormat="1">
      <c r="A40" s="118"/>
      <c r="B40" s="118"/>
      <c r="C40" s="119"/>
      <c r="D40" s="248" t="s">
        <v>85</v>
      </c>
      <c r="E40" s="115" t="s">
        <v>91</v>
      </c>
      <c r="F40" s="41"/>
      <c r="G40" s="125">
        <f>Allowed.Exp.Slope*UB.Chosen+Allowed.Exp.Constant</f>
        <v>107.5</v>
      </c>
      <c r="H40" s="126" t="s">
        <v>92</v>
      </c>
      <c r="I40" s="121"/>
      <c r="J40" s="121"/>
      <c r="K40" s="122"/>
      <c r="L40" s="120"/>
      <c r="M40" s="120"/>
      <c r="N40" s="120"/>
      <c r="O40" s="120"/>
      <c r="P40" s="120"/>
      <c r="Q40" s="119"/>
      <c r="R40" s="3"/>
      <c r="S40" s="3"/>
      <c r="T40" s="3"/>
      <c r="V40" s="106"/>
      <c r="W40" s="106"/>
      <c r="X40" s="109"/>
    </row>
    <row r="41" spans="1:24" s="105" customFormat="1">
      <c r="A41" s="118"/>
      <c r="B41" s="118"/>
      <c r="C41" s="119"/>
      <c r="D41" s="248" t="s">
        <v>85</v>
      </c>
      <c r="E41" s="115" t="s">
        <v>93</v>
      </c>
      <c r="F41" s="41"/>
      <c r="G41" s="125">
        <f>Add.Income.2ndOrder*(UB.Chosen^2)+Add.Income.1stOrder*UB.Chosen+Add.Income.Constant</f>
        <v>-4.1999999999999993</v>
      </c>
      <c r="H41" s="126" t="s">
        <v>94</v>
      </c>
      <c r="I41" s="121"/>
      <c r="J41" s="121"/>
      <c r="K41" s="122"/>
      <c r="L41" s="120"/>
      <c r="M41" s="120"/>
      <c r="N41" s="120"/>
      <c r="O41" s="120"/>
      <c r="P41" s="120"/>
      <c r="Q41" s="119"/>
      <c r="R41" s="3"/>
      <c r="S41" s="3"/>
      <c r="T41" s="3"/>
      <c r="V41" s="106"/>
      <c r="W41" s="106"/>
      <c r="X41" s="109"/>
    </row>
    <row r="42" spans="1:24" s="105" customFormat="1">
      <c r="A42" s="118"/>
      <c r="B42" s="118"/>
      <c r="C42" s="119"/>
      <c r="D42" s="248"/>
      <c r="E42" s="34"/>
      <c r="F42" s="41"/>
      <c r="G42" s="41"/>
      <c r="H42" s="41"/>
      <c r="I42" s="121"/>
      <c r="J42" s="121"/>
      <c r="K42" s="122"/>
      <c r="L42" s="120"/>
      <c r="M42" s="120"/>
      <c r="N42" s="120"/>
      <c r="O42" s="120"/>
      <c r="P42" s="120"/>
      <c r="Q42" s="119"/>
      <c r="R42" s="3"/>
      <c r="S42" s="3"/>
      <c r="T42" s="3"/>
      <c r="V42" s="106"/>
      <c r="W42" s="106"/>
      <c r="X42" s="109"/>
    </row>
    <row r="43" spans="1:24" s="105" customFormat="1">
      <c r="A43" s="118"/>
      <c r="B43" s="118"/>
      <c r="C43" s="119"/>
      <c r="D43" s="248"/>
      <c r="E43" s="113" t="s">
        <v>95</v>
      </c>
      <c r="F43" s="41"/>
      <c r="G43" s="41"/>
      <c r="H43" s="41"/>
      <c r="I43" s="121"/>
      <c r="J43" s="121"/>
      <c r="K43" s="122"/>
      <c r="L43" s="120"/>
      <c r="M43" s="120"/>
      <c r="N43" s="120"/>
      <c r="O43" s="120"/>
      <c r="P43" s="120"/>
      <c r="Q43" s="119"/>
      <c r="R43" s="3"/>
      <c r="S43" s="3"/>
      <c r="T43" s="3"/>
      <c r="V43" s="106"/>
      <c r="W43" s="106"/>
      <c r="X43" s="109"/>
    </row>
    <row r="44" spans="1:24" s="105" customFormat="1">
      <c r="A44" s="118"/>
      <c r="B44" s="118"/>
      <c r="C44" s="119"/>
      <c r="D44" s="250" t="s">
        <v>72</v>
      </c>
      <c r="E44" s="115" t="s">
        <v>96</v>
      </c>
      <c r="F44" s="41"/>
      <c r="G44" s="124">
        <f>Company.Baseline+Company.Slope*(LB.Chosen-100)</f>
        <v>0.54</v>
      </c>
      <c r="H44" s="126" t="s">
        <v>97</v>
      </c>
      <c r="I44" s="121"/>
      <c r="J44" s="121"/>
      <c r="K44" s="122"/>
      <c r="L44" s="120"/>
      <c r="M44" s="120"/>
      <c r="N44" s="120"/>
      <c r="O44" s="120"/>
      <c r="P44" s="120"/>
      <c r="Q44" s="119"/>
      <c r="R44" s="3"/>
      <c r="S44" s="3"/>
      <c r="T44" s="3"/>
      <c r="V44" s="106"/>
      <c r="W44" s="106"/>
      <c r="X44" s="109"/>
    </row>
    <row r="45" spans="1:24" s="105" customFormat="1">
      <c r="A45" s="118"/>
      <c r="B45" s="118"/>
      <c r="C45" s="119"/>
      <c r="D45" s="248" t="s">
        <v>85</v>
      </c>
      <c r="E45" s="115" t="s">
        <v>98</v>
      </c>
      <c r="F45" s="41"/>
      <c r="G45" s="125">
        <f>Allowed.Exp.Slope*LB.Chosen+Allowed.Exp.Constant</f>
        <v>95</v>
      </c>
      <c r="H45" s="126" t="s">
        <v>99</v>
      </c>
      <c r="I45" s="121"/>
      <c r="J45" s="121"/>
      <c r="K45" s="122"/>
      <c r="L45" s="120"/>
      <c r="M45" s="120"/>
      <c r="N45" s="120"/>
      <c r="O45" s="120"/>
      <c r="P45" s="120"/>
      <c r="Q45" s="119"/>
      <c r="R45" s="3"/>
      <c r="S45" s="3"/>
      <c r="T45" s="3"/>
      <c r="V45" s="106"/>
      <c r="W45" s="106"/>
      <c r="X45" s="109"/>
    </row>
    <row r="46" spans="1:24" s="105" customFormat="1" ht="13.5" customHeight="1">
      <c r="A46" s="118"/>
      <c r="B46" s="118"/>
      <c r="C46" s="119"/>
      <c r="D46" s="248" t="s">
        <v>85</v>
      </c>
      <c r="E46" s="115" t="s">
        <v>100</v>
      </c>
      <c r="F46" s="41"/>
      <c r="G46" s="125">
        <f>Add.Income.2ndOrder*(LB.Chosen^2)+Add.Income.1stOrder*LB.Chosen+Add.Income.Constant</f>
        <v>2.3000000000000007</v>
      </c>
      <c r="H46" s="126" t="s">
        <v>101</v>
      </c>
      <c r="I46" s="121"/>
      <c r="J46" s="121"/>
      <c r="K46" s="122"/>
      <c r="L46" s="120"/>
      <c r="M46" s="120"/>
      <c r="N46" s="120"/>
      <c r="O46" s="120"/>
      <c r="P46" s="120"/>
      <c r="Q46" s="119"/>
      <c r="R46" s="3"/>
      <c r="S46" s="3"/>
      <c r="T46" s="3"/>
      <c r="V46" s="106"/>
      <c r="W46" s="106"/>
      <c r="X46" s="109"/>
    </row>
    <row r="47" spans="1:24" s="105" customFormat="1" ht="13.5" customHeight="1">
      <c r="A47" s="118"/>
      <c r="B47" s="118"/>
      <c r="C47" s="119"/>
      <c r="D47" s="248"/>
      <c r="E47" s="115"/>
      <c r="F47" s="41"/>
      <c r="G47" s="126"/>
      <c r="H47" s="126"/>
      <c r="I47" s="121"/>
      <c r="J47" s="121"/>
      <c r="K47" s="122"/>
      <c r="L47" s="120"/>
      <c r="M47" s="120"/>
      <c r="N47" s="120"/>
      <c r="O47" s="120"/>
      <c r="P47" s="120"/>
      <c r="Q47" s="119"/>
      <c r="R47" s="3"/>
      <c r="S47" s="3"/>
      <c r="T47" s="3"/>
      <c r="V47" s="106"/>
      <c r="W47" s="106"/>
      <c r="X47" s="109"/>
    </row>
    <row r="48" spans="1:24" s="23" customFormat="1" ht="13.8">
      <c r="A48" s="20"/>
      <c r="B48" s="20"/>
      <c r="C48" s="20"/>
      <c r="D48" s="247"/>
      <c r="E48" s="22" t="s">
        <v>356</v>
      </c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s="262" customFormat="1" ht="12" customHeight="1">
      <c r="A49" s="118"/>
      <c r="B49" s="118"/>
      <c r="C49" s="118"/>
      <c r="D49" s="19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</row>
    <row r="50" spans="1:24" s="261" customFormat="1">
      <c r="A50" s="118"/>
      <c r="B50" s="118"/>
      <c r="C50" s="119"/>
      <c r="D50" s="248"/>
      <c r="E50" s="123" t="s">
        <v>102</v>
      </c>
      <c r="F50" s="41"/>
      <c r="G50" s="41"/>
      <c r="H50" s="117"/>
      <c r="I50" s="121"/>
      <c r="J50" s="121"/>
      <c r="K50" s="122"/>
      <c r="L50" s="120"/>
      <c r="M50" s="120"/>
      <c r="N50" s="120"/>
      <c r="O50" s="120"/>
      <c r="P50" s="120"/>
      <c r="Q50" s="119"/>
      <c r="R50" s="118"/>
      <c r="S50" s="118"/>
      <c r="T50" s="118"/>
      <c r="U50" s="105"/>
      <c r="V50" s="106"/>
      <c r="W50" s="106"/>
      <c r="X50" s="109"/>
    </row>
    <row r="51" spans="1:24" s="261" customFormat="1">
      <c r="A51" s="118"/>
      <c r="B51" s="118"/>
      <c r="C51" s="119"/>
      <c r="D51" s="250" t="s">
        <v>72</v>
      </c>
      <c r="E51" s="34" t="s">
        <v>103</v>
      </c>
      <c r="F51" s="41"/>
      <c r="G51" s="124">
        <f>MIN(MAX(Eff.Inc.Constant+Eff.Inc.Slope*FD.Menu.Choice.Water,UB.EffInc),LB.EffInc)</f>
        <v>0.49359999999999993</v>
      </c>
      <c r="H51" s="126" t="s">
        <v>293</v>
      </c>
      <c r="I51" s="121"/>
      <c r="J51" s="121"/>
      <c r="K51" s="122"/>
      <c r="L51" s="120"/>
      <c r="M51" s="120"/>
      <c r="N51" s="120"/>
      <c r="O51" s="120"/>
      <c r="P51" s="120"/>
      <c r="Q51" s="119"/>
      <c r="R51" s="118"/>
      <c r="S51" s="118"/>
      <c r="T51" s="118"/>
      <c r="U51" s="105"/>
      <c r="V51" s="106"/>
      <c r="W51" s="106"/>
      <c r="X51" s="109"/>
    </row>
    <row r="52" spans="1:24" s="261" customFormat="1">
      <c r="A52" s="118"/>
      <c r="B52" s="118"/>
      <c r="C52" s="119"/>
      <c r="D52" s="248" t="s">
        <v>85</v>
      </c>
      <c r="E52" s="34" t="s">
        <v>105</v>
      </c>
      <c r="F52" s="41"/>
      <c r="G52" s="125">
        <f>MIN(MAX(Allowed.Exp.Constant+Allowed.Exp.Slope*FD.Menu.Choice.Water,LB.AllExp),UB.AllExp)</f>
        <v>100.8</v>
      </c>
      <c r="H52" s="126" t="s">
        <v>294</v>
      </c>
      <c r="I52" s="121"/>
      <c r="J52" s="121"/>
      <c r="K52" s="122"/>
      <c r="L52" s="120"/>
      <c r="M52" s="120"/>
      <c r="N52" s="120"/>
      <c r="O52" s="120"/>
      <c r="P52" s="120"/>
      <c r="Q52" s="119"/>
      <c r="R52" s="118"/>
      <c r="S52" s="118"/>
      <c r="T52" s="118"/>
      <c r="U52" s="105"/>
      <c r="V52" s="106"/>
      <c r="W52" s="106"/>
      <c r="X52" s="109"/>
    </row>
    <row r="53" spans="1:24" s="261" customFormat="1">
      <c r="A53" s="118"/>
      <c r="B53" s="118"/>
      <c r="C53" s="119"/>
      <c r="D53" s="248" t="s">
        <v>85</v>
      </c>
      <c r="E53" s="34" t="s">
        <v>107</v>
      </c>
      <c r="F53" s="41"/>
      <c r="G53" s="125">
        <f>MIN(MAX(Add.Income.Constant+Add.Income.1stOrder*FD.Menu.Choice.Water+Add.Income.2ndOrder*(FD.Menu.Choice.Water^2),UB.AddInc),LB.AddInc)</f>
        <v>-0.40512000000000015</v>
      </c>
      <c r="H53" s="126" t="s">
        <v>295</v>
      </c>
      <c r="I53" s="121"/>
      <c r="J53" s="121"/>
      <c r="K53" s="122"/>
      <c r="L53" s="120"/>
      <c r="M53" s="120"/>
      <c r="N53" s="120"/>
      <c r="O53" s="120"/>
      <c r="P53" s="120"/>
      <c r="Q53" s="119"/>
      <c r="R53" s="118"/>
      <c r="S53" s="118"/>
      <c r="T53" s="118"/>
      <c r="U53" s="105"/>
      <c r="V53" s="106"/>
      <c r="W53" s="106"/>
      <c r="X53" s="109"/>
    </row>
    <row r="54" spans="1:24" s="261" customFormat="1">
      <c r="A54" s="118"/>
      <c r="B54" s="118"/>
      <c r="C54" s="119"/>
      <c r="D54" s="248"/>
      <c r="E54" s="41"/>
      <c r="F54" s="41"/>
      <c r="G54" s="117"/>
      <c r="H54" s="117"/>
      <c r="I54" s="121"/>
      <c r="J54" s="121"/>
      <c r="K54" s="122"/>
      <c r="L54" s="120"/>
      <c r="M54" s="120"/>
      <c r="N54" s="120"/>
      <c r="O54" s="120"/>
      <c r="P54" s="120"/>
      <c r="Q54" s="119"/>
      <c r="R54" s="118"/>
      <c r="S54" s="118"/>
      <c r="T54" s="118"/>
      <c r="U54" s="105"/>
      <c r="V54" s="106"/>
      <c r="W54" s="106"/>
      <c r="X54" s="109"/>
    </row>
    <row r="55" spans="1:24" s="261" customFormat="1">
      <c r="A55" s="118"/>
      <c r="B55" s="118"/>
      <c r="C55" s="119"/>
      <c r="D55" s="248"/>
      <c r="E55" s="123" t="s">
        <v>109</v>
      </c>
      <c r="F55" s="41"/>
      <c r="G55" s="41"/>
      <c r="H55" s="117"/>
      <c r="I55" s="121"/>
      <c r="J55" s="121"/>
      <c r="K55" s="122"/>
      <c r="L55" s="120"/>
      <c r="M55" s="120"/>
      <c r="N55" s="120"/>
      <c r="O55" s="120"/>
      <c r="P55" s="120"/>
      <c r="Q55" s="119"/>
      <c r="R55" s="118"/>
      <c r="S55" s="118"/>
      <c r="T55" s="118"/>
      <c r="U55" s="105"/>
      <c r="V55" s="106"/>
      <c r="W55" s="106"/>
      <c r="X55" s="109"/>
    </row>
    <row r="56" spans="1:24" s="261" customFormat="1">
      <c r="A56" s="118"/>
      <c r="B56" s="118"/>
      <c r="C56" s="119"/>
      <c r="D56" s="250" t="s">
        <v>72</v>
      </c>
      <c r="E56" s="34" t="s">
        <v>110</v>
      </c>
      <c r="F56" s="41"/>
      <c r="G56" s="124">
        <f>MIN(MAX(Eff.Inc.Constant+Eff.Inc.Slope*FD.Menu.Choice.Sewerage,UB.EffInc),LB.EffInc)</f>
        <v>0.49999999999999994</v>
      </c>
      <c r="H56" s="126" t="s">
        <v>296</v>
      </c>
      <c r="I56" s="121"/>
      <c r="J56" s="121"/>
      <c r="K56" s="122"/>
      <c r="L56" s="120"/>
      <c r="M56" s="120"/>
      <c r="N56" s="120"/>
      <c r="O56" s="120"/>
      <c r="P56" s="120"/>
      <c r="Q56" s="119"/>
      <c r="R56" s="118"/>
      <c r="S56" s="118"/>
      <c r="T56" s="118"/>
      <c r="U56" s="105"/>
      <c r="V56" s="106"/>
      <c r="W56" s="106"/>
      <c r="X56" s="109"/>
    </row>
    <row r="57" spans="1:24" s="261" customFormat="1">
      <c r="A57" s="118"/>
      <c r="B57" s="118"/>
      <c r="C57" s="119"/>
      <c r="D57" s="248" t="s">
        <v>85</v>
      </c>
      <c r="E57" s="34" t="s">
        <v>112</v>
      </c>
      <c r="F57" s="41"/>
      <c r="G57" s="125">
        <f>MIN(MAX(Allowed.Exp.Constant+Allowed.Exp.Slope*FD.Menu.Choice.Sewerage,LB.AllExp),UB.AllExp)</f>
        <v>100</v>
      </c>
      <c r="H57" s="126" t="s">
        <v>297</v>
      </c>
      <c r="I57" s="121"/>
      <c r="J57" s="121"/>
      <c r="K57" s="122"/>
      <c r="L57" s="120"/>
      <c r="M57" s="120"/>
      <c r="N57" s="120"/>
      <c r="O57" s="120"/>
      <c r="P57" s="120"/>
      <c r="Q57" s="119"/>
      <c r="R57" s="118"/>
      <c r="S57" s="118"/>
      <c r="T57" s="118"/>
      <c r="U57" s="105"/>
      <c r="V57" s="106"/>
      <c r="W57" s="106"/>
      <c r="X57" s="109"/>
    </row>
    <row r="58" spans="1:24" s="261" customFormat="1">
      <c r="A58" s="118"/>
      <c r="B58" s="118"/>
      <c r="C58" s="119"/>
      <c r="D58" s="248" t="s">
        <v>85</v>
      </c>
      <c r="E58" s="34" t="s">
        <v>114</v>
      </c>
      <c r="F58" s="41"/>
      <c r="G58" s="125">
        <f>MIN(MAX(Add.Income.Constant+Add.Income.1stOrder*FD.Menu.Choice.Sewerage+Add.Income.2ndOrder*(FD.Menu.Choice.Sewerage^2),UB.AddInc),LB.AddInc)</f>
        <v>0</v>
      </c>
      <c r="H58" s="126" t="s">
        <v>298</v>
      </c>
      <c r="I58" s="121"/>
      <c r="J58" s="121"/>
      <c r="K58" s="122"/>
      <c r="L58" s="120"/>
      <c r="M58" s="120"/>
      <c r="N58" s="120"/>
      <c r="O58" s="120"/>
      <c r="P58" s="120"/>
      <c r="Q58" s="119"/>
      <c r="R58" s="118"/>
      <c r="S58" s="118"/>
      <c r="T58" s="118"/>
      <c r="U58" s="105"/>
      <c r="V58" s="106"/>
      <c r="W58" s="106"/>
      <c r="X58" s="109"/>
    </row>
    <row r="59" spans="1:24" s="261" customFormat="1">
      <c r="A59" s="118"/>
      <c r="B59" s="118"/>
      <c r="C59" s="119"/>
      <c r="D59" s="248"/>
      <c r="E59" s="41"/>
      <c r="F59" s="41"/>
      <c r="G59" s="117"/>
      <c r="H59" s="117"/>
      <c r="I59" s="121"/>
      <c r="J59" s="121"/>
      <c r="K59" s="122"/>
      <c r="L59" s="120"/>
      <c r="M59" s="120"/>
      <c r="N59" s="120"/>
      <c r="O59" s="120"/>
      <c r="P59" s="120"/>
      <c r="Q59" s="119"/>
      <c r="R59" s="118"/>
      <c r="S59" s="118"/>
      <c r="T59" s="118"/>
      <c r="U59" s="105"/>
      <c r="V59" s="106"/>
      <c r="W59" s="106"/>
      <c r="X59" s="109"/>
    </row>
    <row r="60" spans="1:24" s="23" customFormat="1" ht="13.8">
      <c r="A60" s="20"/>
      <c r="B60" s="20"/>
      <c r="C60" s="20"/>
      <c r="D60" s="247"/>
      <c r="E60" s="22" t="s">
        <v>286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</row>
    <row r="61" spans="1:24" s="3" customFormat="1" ht="12" customHeight="1">
      <c r="D61" s="246"/>
    </row>
    <row r="62" spans="1:24" s="105" customFormat="1">
      <c r="A62" s="118"/>
      <c r="B62" s="118"/>
      <c r="C62" s="119"/>
      <c r="D62" s="248"/>
      <c r="E62" s="123" t="s">
        <v>102</v>
      </c>
      <c r="F62" s="41"/>
      <c r="G62" s="41"/>
      <c r="H62" s="117"/>
      <c r="I62" s="121"/>
      <c r="J62" s="121"/>
      <c r="K62" s="122"/>
      <c r="L62" s="120"/>
      <c r="M62" s="120"/>
      <c r="N62" s="120"/>
      <c r="O62" s="120"/>
      <c r="P62" s="120"/>
      <c r="Q62" s="119"/>
      <c r="R62" s="3"/>
      <c r="S62" s="3"/>
      <c r="T62" s="3"/>
      <c r="V62" s="106"/>
      <c r="W62" s="106"/>
      <c r="X62" s="109"/>
    </row>
    <row r="63" spans="1:24" s="105" customFormat="1">
      <c r="A63" s="118"/>
      <c r="B63" s="118"/>
      <c r="C63" s="119"/>
      <c r="D63" s="250" t="s">
        <v>72</v>
      </c>
      <c r="E63" s="34" t="s">
        <v>103</v>
      </c>
      <c r="F63" s="41"/>
      <c r="G63" s="124">
        <f>MIN(MAX(Eff.Inc.Constant+Eff.Inc.Slope*Menu.Choice.Water,UB.EffInc),LB.EffInc)</f>
        <v>0.49359999999999993</v>
      </c>
      <c r="H63" s="126" t="s">
        <v>104</v>
      </c>
      <c r="I63" s="121"/>
      <c r="J63" s="121"/>
      <c r="K63" s="122"/>
      <c r="L63" s="120"/>
      <c r="M63" s="120"/>
      <c r="N63" s="120"/>
      <c r="O63" s="120"/>
      <c r="P63" s="120"/>
      <c r="Q63" s="119"/>
      <c r="R63" s="3"/>
      <c r="S63" s="3"/>
      <c r="T63" s="3"/>
      <c r="V63" s="106"/>
      <c r="W63" s="106"/>
      <c r="X63" s="109"/>
    </row>
    <row r="64" spans="1:24" s="105" customFormat="1">
      <c r="A64" s="118"/>
      <c r="B64" s="118"/>
      <c r="C64" s="119"/>
      <c r="D64" s="248" t="s">
        <v>85</v>
      </c>
      <c r="E64" s="34" t="s">
        <v>105</v>
      </c>
      <c r="F64" s="41"/>
      <c r="G64" s="125">
        <f>MIN(MAX(Allowed.Exp.Constant+Allowed.Exp.Slope*Menu.Choice.Water,LB.AllExp),UB.AllExp)</f>
        <v>100.8</v>
      </c>
      <c r="H64" s="126" t="s">
        <v>106</v>
      </c>
      <c r="I64" s="121"/>
      <c r="J64" s="268"/>
      <c r="K64" s="122"/>
      <c r="L64" s="120"/>
      <c r="M64" s="120"/>
      <c r="N64" s="120"/>
      <c r="O64" s="120"/>
      <c r="P64" s="120"/>
      <c r="Q64" s="119"/>
      <c r="R64" s="3"/>
      <c r="S64" s="3"/>
      <c r="T64" s="3"/>
      <c r="V64" s="106"/>
      <c r="W64" s="106"/>
      <c r="X64" s="109"/>
    </row>
    <row r="65" spans="1:24" s="105" customFormat="1">
      <c r="A65" s="118"/>
      <c r="B65" s="118"/>
      <c r="C65" s="119"/>
      <c r="D65" s="248" t="s">
        <v>85</v>
      </c>
      <c r="E65" s="34" t="s">
        <v>107</v>
      </c>
      <c r="F65" s="41"/>
      <c r="G65" s="125">
        <f>MIN(MAX(Add.Income.Constant+Add.Income.1stOrder*Menu.Choice.Water+Add.Income.2ndOrder*(Menu.Choice.Water^2),UB.AddInc),LB.AddInc)</f>
        <v>-0.40512000000000015</v>
      </c>
      <c r="H65" s="126" t="s">
        <v>108</v>
      </c>
      <c r="I65" s="121"/>
      <c r="J65" s="121"/>
      <c r="K65" s="122"/>
      <c r="L65" s="120"/>
      <c r="M65" s="120"/>
      <c r="N65" s="120"/>
      <c r="O65" s="120"/>
      <c r="P65" s="120"/>
      <c r="Q65" s="119"/>
      <c r="R65" s="3"/>
      <c r="S65" s="3"/>
      <c r="T65" s="3"/>
      <c r="V65" s="106"/>
      <c r="W65" s="106"/>
      <c r="X65" s="109"/>
    </row>
    <row r="66" spans="1:24" s="105" customFormat="1">
      <c r="A66" s="118"/>
      <c r="B66" s="118"/>
      <c r="C66" s="119"/>
      <c r="D66" s="248"/>
      <c r="E66" s="41"/>
      <c r="F66" s="41"/>
      <c r="G66" s="117"/>
      <c r="H66" s="117"/>
      <c r="I66" s="121"/>
      <c r="J66" s="121"/>
      <c r="K66" s="122"/>
      <c r="L66" s="120"/>
      <c r="M66" s="120"/>
      <c r="N66" s="120"/>
      <c r="O66" s="120"/>
      <c r="P66" s="120"/>
      <c r="Q66" s="119"/>
      <c r="R66" s="3"/>
      <c r="S66" s="3"/>
      <c r="T66" s="3"/>
      <c r="V66" s="106"/>
      <c r="W66" s="106"/>
      <c r="X66" s="109"/>
    </row>
    <row r="67" spans="1:24" s="105" customFormat="1">
      <c r="A67" s="118"/>
      <c r="B67" s="118"/>
      <c r="C67" s="119"/>
      <c r="D67" s="248"/>
      <c r="E67" s="123" t="s">
        <v>109</v>
      </c>
      <c r="F67" s="41"/>
      <c r="G67" s="41"/>
      <c r="H67" s="117"/>
      <c r="I67" s="121"/>
      <c r="J67" s="121"/>
      <c r="K67" s="122"/>
      <c r="L67" s="120"/>
      <c r="M67" s="120"/>
      <c r="N67" s="120"/>
      <c r="O67" s="120"/>
      <c r="P67" s="120"/>
      <c r="Q67" s="119"/>
      <c r="R67" s="3"/>
      <c r="S67" s="3"/>
      <c r="T67" s="3"/>
      <c r="V67" s="106"/>
      <c r="W67" s="106"/>
      <c r="X67" s="109"/>
    </row>
    <row r="68" spans="1:24" s="105" customFormat="1">
      <c r="A68" s="118"/>
      <c r="B68" s="118"/>
      <c r="C68" s="119"/>
      <c r="D68" s="250" t="s">
        <v>72</v>
      </c>
      <c r="E68" s="34" t="s">
        <v>110</v>
      </c>
      <c r="F68" s="41"/>
      <c r="G68" s="124">
        <f>MIN(MAX(Eff.Inc.Constant+Eff.Inc.Slope*Menu.Choice.Sewerage,UB.EffInc),LB.EffInc)</f>
        <v>0.49999999999999994</v>
      </c>
      <c r="H68" s="126" t="s">
        <v>111</v>
      </c>
      <c r="I68" s="121"/>
      <c r="J68" s="121"/>
      <c r="K68" s="122"/>
      <c r="L68" s="120"/>
      <c r="M68" s="120"/>
      <c r="N68" s="120"/>
      <c r="O68" s="120"/>
      <c r="P68" s="120"/>
      <c r="Q68" s="119"/>
      <c r="R68" s="3"/>
      <c r="S68" s="3"/>
      <c r="T68" s="3"/>
      <c r="V68" s="106"/>
      <c r="W68" s="106"/>
      <c r="X68" s="109"/>
    </row>
    <row r="69" spans="1:24" s="105" customFormat="1">
      <c r="A69" s="118"/>
      <c r="B69" s="118"/>
      <c r="C69" s="119"/>
      <c r="D69" s="248" t="s">
        <v>85</v>
      </c>
      <c r="E69" s="34" t="s">
        <v>112</v>
      </c>
      <c r="F69" s="41"/>
      <c r="G69" s="125">
        <f>MIN(MAX(Allowed.Exp.Constant+Allowed.Exp.Slope*Menu.Choice.Sewerage,LB.AllExp),UB.AllExp)</f>
        <v>100</v>
      </c>
      <c r="H69" s="126" t="s">
        <v>113</v>
      </c>
      <c r="I69" s="121"/>
      <c r="J69" s="121"/>
      <c r="K69" s="122"/>
      <c r="L69" s="120"/>
      <c r="M69" s="120"/>
      <c r="N69" s="120"/>
      <c r="O69" s="120"/>
      <c r="P69" s="120"/>
      <c r="Q69" s="119"/>
      <c r="R69" s="3"/>
      <c r="S69" s="3"/>
      <c r="T69" s="3"/>
      <c r="V69" s="106"/>
      <c r="W69" s="106"/>
      <c r="X69" s="109"/>
    </row>
    <row r="70" spans="1:24" s="105" customFormat="1">
      <c r="A70" s="118"/>
      <c r="B70" s="118"/>
      <c r="C70" s="119"/>
      <c r="D70" s="248" t="s">
        <v>85</v>
      </c>
      <c r="E70" s="34" t="s">
        <v>114</v>
      </c>
      <c r="F70" s="41"/>
      <c r="G70" s="125">
        <f>MIN(MAX(Add.Income.Constant+Add.Income.1stOrder*Menu.Choice.Sewerage+Add.Income.2ndOrder*(Menu.Choice.Sewerage^2),UB.AddInc),LB.AddInc)</f>
        <v>0</v>
      </c>
      <c r="H70" s="126" t="s">
        <v>115</v>
      </c>
      <c r="I70" s="121"/>
      <c r="J70" s="121"/>
      <c r="K70" s="122"/>
      <c r="L70" s="120"/>
      <c r="M70" s="120"/>
      <c r="N70" s="120"/>
      <c r="O70" s="120"/>
      <c r="P70" s="120"/>
      <c r="Q70" s="119"/>
      <c r="R70" s="3"/>
      <c r="S70" s="3"/>
      <c r="T70" s="3"/>
      <c r="V70" s="106"/>
      <c r="W70" s="106"/>
      <c r="X70" s="109"/>
    </row>
    <row r="71" spans="1:24" s="105" customFormat="1">
      <c r="A71" s="118"/>
      <c r="B71" s="118"/>
      <c r="C71" s="119"/>
      <c r="D71" s="248"/>
      <c r="E71" s="41"/>
      <c r="F71" s="41"/>
      <c r="G71" s="117"/>
      <c r="H71" s="117"/>
      <c r="I71" s="121"/>
      <c r="J71" s="121"/>
      <c r="K71" s="122"/>
      <c r="L71" s="120"/>
      <c r="M71" s="120"/>
      <c r="N71" s="120"/>
      <c r="O71" s="120"/>
      <c r="P71" s="120"/>
      <c r="Q71" s="119"/>
      <c r="R71" s="3"/>
      <c r="S71" s="3"/>
      <c r="T71" s="3"/>
      <c r="V71" s="106"/>
      <c r="W71" s="106"/>
      <c r="X71" s="109"/>
    </row>
    <row r="72" spans="1:24" s="23" customFormat="1" ht="13.8">
      <c r="A72" s="20"/>
      <c r="B72" s="20"/>
      <c r="C72" s="20"/>
      <c r="D72" s="247"/>
      <c r="E72" s="22" t="s">
        <v>253</v>
      </c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</row>
    <row r="73" spans="1:24" s="3" customFormat="1">
      <c r="D73" s="246"/>
    </row>
    <row r="74" spans="1:24" s="23" customFormat="1" ht="13.8">
      <c r="A74" s="20"/>
      <c r="B74" s="20"/>
      <c r="C74" s="20"/>
      <c r="D74" s="247"/>
      <c r="E74" s="22" t="s">
        <v>116</v>
      </c>
      <c r="F74" s="220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s="105" customFormat="1">
      <c r="A75" s="118"/>
      <c r="B75" s="118"/>
      <c r="C75" s="119"/>
      <c r="D75" s="108"/>
      <c r="Q75" s="119"/>
      <c r="R75" s="3"/>
      <c r="S75" s="3"/>
      <c r="T75" s="3"/>
      <c r="V75" s="106"/>
      <c r="W75" s="106"/>
      <c r="X75" s="109"/>
    </row>
    <row r="76" spans="1:24" s="105" customFormat="1">
      <c r="A76" s="118"/>
      <c r="B76" s="118"/>
      <c r="C76" s="119"/>
      <c r="D76" s="248"/>
      <c r="E76" s="123" t="s">
        <v>117</v>
      </c>
      <c r="F76" s="221"/>
      <c r="G76" s="3"/>
      <c r="L76" s="3"/>
      <c r="M76" s="3"/>
      <c r="N76" s="3"/>
      <c r="P76" s="106"/>
      <c r="Q76" s="106"/>
      <c r="R76" s="109"/>
    </row>
    <row r="77" spans="1:24" s="105" customFormat="1">
      <c r="A77" s="118"/>
      <c r="B77" s="118"/>
      <c r="C77" s="119"/>
      <c r="D77" s="250" t="s">
        <v>72</v>
      </c>
      <c r="E77" s="34" t="s">
        <v>358</v>
      </c>
      <c r="F77" s="3"/>
      <c r="G77" s="270">
        <f>IF(SUM(Baseline.Totex.Water)&lt;&gt;0,SUM(Menu.Totex.Water)/SUM(Baseline.Totex.Water),0)</f>
        <v>1.0137345842085281</v>
      </c>
      <c r="K77" s="106"/>
      <c r="L77" s="3"/>
      <c r="M77" s="3"/>
      <c r="N77" s="3"/>
      <c r="P77" s="106"/>
      <c r="Q77" s="106"/>
      <c r="R77" s="109"/>
    </row>
    <row r="78" spans="1:24" s="105" customFormat="1">
      <c r="A78" s="118"/>
      <c r="B78" s="118"/>
      <c r="C78" s="119"/>
      <c r="D78" s="248" t="s">
        <v>85</v>
      </c>
      <c r="E78" s="34" t="s">
        <v>359</v>
      </c>
      <c r="F78" s="41"/>
      <c r="G78" s="125">
        <f>G77*100</f>
        <v>101.37345842085281</v>
      </c>
      <c r="K78" s="106"/>
      <c r="L78" s="3"/>
      <c r="M78" s="3"/>
      <c r="N78" s="3"/>
      <c r="P78" s="106"/>
      <c r="Q78" s="106"/>
      <c r="R78" s="109"/>
    </row>
    <row r="79" spans="1:24" s="105" customFormat="1">
      <c r="A79" s="118"/>
      <c r="B79" s="118"/>
      <c r="C79" s="119"/>
      <c r="D79" s="246"/>
      <c r="E79" s="3"/>
      <c r="F79" s="3"/>
      <c r="G79" s="119"/>
      <c r="K79" s="106"/>
      <c r="L79" s="3"/>
      <c r="M79" s="3"/>
      <c r="N79" s="3"/>
      <c r="P79" s="106"/>
      <c r="Q79" s="106"/>
      <c r="R79" s="109"/>
    </row>
    <row r="80" spans="1:24" s="105" customFormat="1">
      <c r="A80" s="118"/>
      <c r="B80" s="118"/>
      <c r="C80" s="119"/>
      <c r="D80" s="248" t="s">
        <v>85</v>
      </c>
      <c r="E80" s="34" t="s">
        <v>118</v>
      </c>
      <c r="F80" s="221"/>
      <c r="G80" s="224">
        <f>(AllExp.Coeff.Water-G78)*EffInc.Coeff.Water+AddInc.Coeff.Water</f>
        <v>-0.68817907653295018</v>
      </c>
      <c r="K80" s="106"/>
      <c r="L80" s="3"/>
      <c r="M80" s="3"/>
      <c r="N80" s="3"/>
      <c r="P80" s="106"/>
      <c r="Q80" s="106"/>
      <c r="R80" s="109"/>
    </row>
    <row r="81" spans="1:24" s="105" customFormat="1">
      <c r="A81" s="118"/>
      <c r="B81" s="118"/>
      <c r="C81" s="119"/>
      <c r="D81" s="250" t="s">
        <v>72</v>
      </c>
      <c r="E81" s="34" t="s">
        <v>119</v>
      </c>
      <c r="F81" s="41"/>
      <c r="G81" s="269">
        <f>G80/100</f>
        <v>-6.8817907653295016E-3</v>
      </c>
      <c r="K81" s="106"/>
      <c r="L81" s="3"/>
      <c r="M81" s="3"/>
      <c r="N81" s="3"/>
      <c r="P81" s="106"/>
      <c r="Q81" s="106"/>
      <c r="R81" s="109"/>
    </row>
    <row r="82" spans="1:24" s="105" customFormat="1">
      <c r="A82" s="118"/>
      <c r="B82" s="118"/>
      <c r="C82" s="119"/>
      <c r="D82" s="108"/>
      <c r="G82" s="106"/>
      <c r="K82" s="106"/>
      <c r="L82" s="3"/>
      <c r="M82" s="3"/>
      <c r="N82" s="3"/>
      <c r="P82" s="106"/>
      <c r="Q82" s="106"/>
      <c r="R82" s="109"/>
    </row>
    <row r="83" spans="1:24" s="105" customFormat="1">
      <c r="A83" s="118"/>
      <c r="B83" s="118"/>
      <c r="C83" s="119"/>
      <c r="D83" s="248"/>
      <c r="E83" s="123" t="s">
        <v>120</v>
      </c>
      <c r="F83" s="3"/>
      <c r="G83" s="119"/>
      <c r="K83" s="106"/>
      <c r="L83" s="3"/>
      <c r="M83" s="3"/>
      <c r="N83" s="3"/>
      <c r="P83" s="106"/>
      <c r="Q83" s="106"/>
      <c r="R83" s="109"/>
    </row>
    <row r="84" spans="1:24" s="105" customFormat="1">
      <c r="A84" s="118"/>
      <c r="B84" s="118"/>
      <c r="C84" s="119"/>
      <c r="D84" s="250" t="s">
        <v>72</v>
      </c>
      <c r="E84" s="34" t="s">
        <v>360</v>
      </c>
      <c r="F84" s="3"/>
      <c r="G84" s="270">
        <f>IF(SUM(Baseline.Totex.Sewerage)&lt;&gt;0,SUM(Menu.Totex.Sewerage)/SUM(Baseline.Totex.Sewerage),0)</f>
        <v>0</v>
      </c>
      <c r="K84" s="106"/>
      <c r="L84" s="3"/>
      <c r="M84" s="3"/>
      <c r="N84" s="3"/>
      <c r="P84" s="106"/>
      <c r="Q84" s="106"/>
      <c r="R84" s="109"/>
    </row>
    <row r="85" spans="1:24" s="105" customFormat="1">
      <c r="A85" s="118"/>
      <c r="B85" s="118"/>
      <c r="C85" s="119"/>
      <c r="D85" s="248" t="s">
        <v>85</v>
      </c>
      <c r="E85" s="34" t="s">
        <v>361</v>
      </c>
      <c r="F85" s="41"/>
      <c r="G85" s="125">
        <f>G84*100</f>
        <v>0</v>
      </c>
      <c r="K85" s="106"/>
      <c r="L85" s="3"/>
      <c r="M85" s="3"/>
      <c r="N85" s="3"/>
      <c r="P85" s="106"/>
      <c r="Q85" s="106"/>
      <c r="R85" s="109"/>
    </row>
    <row r="86" spans="1:24" s="105" customFormat="1">
      <c r="A86" s="118"/>
      <c r="B86" s="118"/>
      <c r="C86" s="119"/>
      <c r="D86" s="246"/>
      <c r="E86" s="3"/>
      <c r="F86" s="3"/>
      <c r="G86" s="119"/>
      <c r="K86" s="106"/>
      <c r="L86" s="3"/>
      <c r="M86" s="3"/>
      <c r="N86" s="3"/>
      <c r="P86" s="106"/>
      <c r="Q86" s="106"/>
      <c r="R86" s="109"/>
    </row>
    <row r="87" spans="1:24" s="105" customFormat="1">
      <c r="A87" s="118"/>
      <c r="B87" s="118"/>
      <c r="C87" s="119"/>
      <c r="D87" s="248" t="s">
        <v>85</v>
      </c>
      <c r="E87" s="34" t="s">
        <v>121</v>
      </c>
      <c r="F87" s="41"/>
      <c r="G87" s="223">
        <f>(AllExp.Coeff.Sewerage-G85)*EffInc.Coeff.Sewerage+AddInc.Coeff.Sewerage</f>
        <v>49.999999999999993</v>
      </c>
      <c r="H87" s="274"/>
      <c r="K87" s="106"/>
      <c r="L87" s="3"/>
      <c r="M87" s="3"/>
      <c r="N87" s="3"/>
      <c r="P87" s="106"/>
      <c r="Q87" s="106"/>
      <c r="R87" s="109"/>
    </row>
    <row r="88" spans="1:24" s="105" customFormat="1">
      <c r="A88" s="118"/>
      <c r="B88" s="118"/>
      <c r="C88" s="119"/>
      <c r="D88" s="250" t="s">
        <v>72</v>
      </c>
      <c r="E88" s="34" t="s">
        <v>122</v>
      </c>
      <c r="F88" s="41"/>
      <c r="G88" s="269">
        <f>G87/100</f>
        <v>0.49999999999999994</v>
      </c>
      <c r="H88" s="274"/>
      <c r="K88" s="106"/>
      <c r="L88" s="3"/>
      <c r="M88" s="3"/>
      <c r="N88" s="3"/>
      <c r="P88" s="106"/>
      <c r="Q88" s="106"/>
      <c r="R88" s="109"/>
    </row>
    <row r="89" spans="1:24" s="105" customFormat="1">
      <c r="A89" s="118"/>
      <c r="B89" s="118"/>
      <c r="C89" s="119"/>
      <c r="D89" s="108"/>
      <c r="Q89" s="119"/>
      <c r="R89" s="3"/>
      <c r="S89" s="3"/>
      <c r="T89" s="3"/>
      <c r="V89" s="106"/>
      <c r="W89" s="106"/>
      <c r="X89" s="109"/>
    </row>
    <row r="90" spans="1:24" s="23" customFormat="1" ht="13.8">
      <c r="A90" s="20"/>
      <c r="B90" s="20"/>
      <c r="C90" s="20"/>
      <c r="D90" s="247"/>
      <c r="E90" s="22" t="s">
        <v>274</v>
      </c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s="105" customFormat="1">
      <c r="A91" s="118"/>
      <c r="B91" s="118"/>
      <c r="C91" s="119"/>
      <c r="D91" s="108"/>
      <c r="Q91" s="119"/>
      <c r="R91" s="3"/>
      <c r="S91" s="3"/>
      <c r="T91" s="3"/>
      <c r="V91" s="106"/>
      <c r="W91" s="106"/>
      <c r="X91" s="109"/>
    </row>
    <row r="92" spans="1:24" s="105" customFormat="1">
      <c r="A92" s="118"/>
      <c r="B92" s="118"/>
      <c r="C92" s="119"/>
      <c r="D92" s="108"/>
      <c r="E92" s="123" t="s">
        <v>275</v>
      </c>
      <c r="F92" s="222"/>
      <c r="K92" s="106"/>
      <c r="L92" s="3"/>
      <c r="M92" s="3"/>
      <c r="N92" s="3"/>
      <c r="P92" s="106"/>
      <c r="Q92" s="106"/>
      <c r="R92" s="109"/>
    </row>
    <row r="93" spans="1:24" s="105" customFormat="1">
      <c r="A93" s="118"/>
      <c r="B93" s="118"/>
      <c r="C93" s="119"/>
      <c r="D93" s="248" t="s">
        <v>13</v>
      </c>
      <c r="E93" s="34" t="s">
        <v>272</v>
      </c>
      <c r="F93" s="35" t="s">
        <v>14</v>
      </c>
      <c r="G93" s="211">
        <f>G81*SUM(Baseline.Totex.Water)</f>
        <v>-2.6416614657481849</v>
      </c>
      <c r="K93" s="106"/>
      <c r="L93" s="3"/>
      <c r="M93" s="3"/>
      <c r="N93" s="3"/>
      <c r="P93" s="106"/>
      <c r="Q93" s="106"/>
      <c r="R93" s="109"/>
    </row>
    <row r="94" spans="1:24" s="105" customFormat="1">
      <c r="A94" s="118"/>
      <c r="B94" s="118"/>
      <c r="C94" s="119"/>
      <c r="D94" s="248" t="s">
        <v>13</v>
      </c>
      <c r="E94" s="34" t="s">
        <v>273</v>
      </c>
      <c r="F94" s="35" t="s">
        <v>14</v>
      </c>
      <c r="G94" s="211">
        <f>G88*SUM(Baseline.Totex.Sewerage)</f>
        <v>0</v>
      </c>
      <c r="K94" s="106"/>
      <c r="L94" s="3"/>
      <c r="M94" s="3"/>
      <c r="N94" s="3"/>
      <c r="P94" s="106"/>
      <c r="Q94" s="106"/>
      <c r="R94" s="109"/>
    </row>
    <row r="95" spans="1:24" s="105" customFormat="1">
      <c r="A95" s="118"/>
      <c r="B95" s="118"/>
      <c r="C95" s="119"/>
      <c r="D95" s="248"/>
      <c r="E95" s="34"/>
      <c r="F95" s="35"/>
      <c r="G95" s="211"/>
      <c r="K95" s="106"/>
      <c r="L95" s="3"/>
      <c r="M95" s="3"/>
      <c r="N95" s="3"/>
      <c r="P95" s="106"/>
      <c r="Q95" s="106"/>
      <c r="R95" s="109"/>
    </row>
    <row r="96" spans="1:24" s="261" customFormat="1">
      <c r="A96" s="118"/>
      <c r="B96" s="118"/>
      <c r="C96" s="119"/>
      <c r="D96" s="108"/>
      <c r="E96" s="123" t="s">
        <v>289</v>
      </c>
      <c r="F96" s="222"/>
      <c r="G96" s="105"/>
      <c r="H96" s="105"/>
      <c r="I96" s="105"/>
      <c r="J96" s="105"/>
      <c r="K96" s="106"/>
      <c r="L96" s="118"/>
      <c r="M96" s="118"/>
      <c r="N96" s="118"/>
      <c r="O96" s="105"/>
      <c r="P96" s="106"/>
      <c r="Q96" s="106"/>
      <c r="R96" s="109"/>
      <c r="S96" s="105"/>
      <c r="T96" s="105"/>
      <c r="U96" s="105"/>
      <c r="V96" s="105"/>
      <c r="W96" s="105"/>
      <c r="X96" s="105"/>
    </row>
    <row r="97" spans="1:24" s="261" customFormat="1">
      <c r="A97" s="118"/>
      <c r="B97" s="118"/>
      <c r="C97" s="119"/>
      <c r="D97" s="248" t="s">
        <v>13</v>
      </c>
      <c r="E97" s="34" t="s">
        <v>287</v>
      </c>
      <c r="F97" s="35" t="s">
        <v>14</v>
      </c>
      <c r="G97" s="105"/>
      <c r="H97" s="105"/>
      <c r="I97" s="105"/>
      <c r="J97" s="105"/>
      <c r="K97" s="106"/>
      <c r="L97" s="211">
        <f>FD.AddInc.Coeff.Water/100*Baseline.Totex.Water</f>
        <v>-0.30858383401214928</v>
      </c>
      <c r="M97" s="211">
        <f>FD.AddInc.Coeff.Water/100*Baseline.Totex.Water</f>
        <v>-0.31153068970998771</v>
      </c>
      <c r="N97" s="211">
        <f>FD.AddInc.Coeff.Water/100*Baseline.Totex.Water</f>
        <v>-0.31269959652723051</v>
      </c>
      <c r="O97" s="211">
        <f>FD.AddInc.Coeff.Water/100*Baseline.Totex.Water</f>
        <v>-0.31327080989099643</v>
      </c>
      <c r="P97" s="211">
        <f>FD.AddInc.Coeff.Water/100*Baseline.Totex.Water</f>
        <v>-0.30901886405740148</v>
      </c>
      <c r="Q97" s="106"/>
      <c r="R97" s="109"/>
      <c r="S97" s="105"/>
      <c r="T97" s="105"/>
      <c r="U97" s="105"/>
      <c r="V97" s="105"/>
      <c r="W97" s="105"/>
      <c r="X97" s="105"/>
    </row>
    <row r="98" spans="1:24" s="261" customFormat="1">
      <c r="A98" s="118"/>
      <c r="B98" s="118"/>
      <c r="C98" s="119"/>
      <c r="D98" s="248" t="s">
        <v>13</v>
      </c>
      <c r="E98" s="34" t="s">
        <v>288</v>
      </c>
      <c r="F98" s="35" t="s">
        <v>14</v>
      </c>
      <c r="G98" s="105"/>
      <c r="H98" s="105"/>
      <c r="I98" s="105"/>
      <c r="J98" s="105"/>
      <c r="K98" s="106"/>
      <c r="L98" s="211">
        <f>FD.AddInc.Coeff.Sewerage/100*Baseline.Totex.Sewerage</f>
        <v>0</v>
      </c>
      <c r="M98" s="211">
        <f>FD.AddInc.Coeff.Sewerage/100*Baseline.Totex.Sewerage</f>
        <v>0</v>
      </c>
      <c r="N98" s="211">
        <f>FD.AddInc.Coeff.Sewerage/100*Baseline.Totex.Sewerage</f>
        <v>0</v>
      </c>
      <c r="O98" s="211">
        <f>FD.AddInc.Coeff.Sewerage/100*Baseline.Totex.Sewerage</f>
        <v>0</v>
      </c>
      <c r="P98" s="211">
        <f>FD.AddInc.Coeff.Sewerage/100*Baseline.Totex.Sewerage</f>
        <v>0</v>
      </c>
      <c r="Q98" s="106"/>
      <c r="R98" s="109"/>
      <c r="S98" s="105"/>
      <c r="T98" s="105"/>
      <c r="U98" s="105"/>
      <c r="V98" s="105"/>
      <c r="W98" s="105"/>
      <c r="X98" s="105"/>
    </row>
    <row r="99" spans="1:24" s="105" customFormat="1">
      <c r="A99" s="118"/>
      <c r="B99" s="118"/>
      <c r="C99" s="119"/>
      <c r="D99" s="248"/>
      <c r="E99" s="34"/>
      <c r="F99" s="35"/>
      <c r="G99" s="211"/>
      <c r="K99" s="106"/>
      <c r="L99" s="3"/>
      <c r="M99" s="3"/>
      <c r="N99" s="3"/>
      <c r="P99" s="106"/>
      <c r="Q99" s="106"/>
      <c r="R99" s="109"/>
    </row>
    <row r="100" spans="1:24" s="261" customFormat="1">
      <c r="A100" s="118"/>
      <c r="B100" s="118"/>
      <c r="C100" s="119"/>
      <c r="D100" s="108"/>
      <c r="E100" s="123" t="s">
        <v>290</v>
      </c>
      <c r="F100" s="222"/>
      <c r="G100" s="105"/>
      <c r="H100" s="105"/>
      <c r="I100" s="105"/>
      <c r="J100" s="105"/>
      <c r="K100" s="106"/>
      <c r="L100" s="118"/>
      <c r="M100" s="118"/>
      <c r="N100" s="118"/>
      <c r="O100" s="105"/>
      <c r="P100" s="106"/>
      <c r="Q100" s="106"/>
      <c r="R100" s="109"/>
      <c r="S100" s="105"/>
      <c r="T100" s="105"/>
      <c r="U100" s="105"/>
      <c r="V100" s="105"/>
      <c r="W100" s="105"/>
      <c r="X100" s="105"/>
    </row>
    <row r="101" spans="1:24" s="261" customFormat="1">
      <c r="A101" s="118"/>
      <c r="B101" s="118"/>
      <c r="C101" s="119"/>
      <c r="D101" s="248" t="s">
        <v>13</v>
      </c>
      <c r="E101" s="34" t="s">
        <v>321</v>
      </c>
      <c r="F101" s="35" t="s">
        <v>14</v>
      </c>
      <c r="G101" s="211">
        <f>G93-SUM(L97:P97)</f>
        <v>-1.0865576715504195</v>
      </c>
      <c r="H101" s="105"/>
      <c r="I101" s="105"/>
      <c r="J101" s="105"/>
      <c r="K101" s="106"/>
      <c r="L101" s="118"/>
      <c r="M101" s="118"/>
      <c r="N101" s="118"/>
      <c r="O101" s="105"/>
      <c r="P101" s="106"/>
      <c r="Q101" s="106"/>
      <c r="R101" s="109"/>
      <c r="S101" s="105"/>
      <c r="T101" s="105"/>
      <c r="U101" s="105"/>
      <c r="V101" s="105"/>
      <c r="W101" s="105"/>
      <c r="X101" s="105"/>
    </row>
    <row r="102" spans="1:24" s="261" customFormat="1">
      <c r="A102" s="118"/>
      <c r="B102" s="118"/>
      <c r="C102" s="119"/>
      <c r="D102" s="248" t="s">
        <v>13</v>
      </c>
      <c r="E102" s="34" t="s">
        <v>322</v>
      </c>
      <c r="F102" s="35" t="s">
        <v>14</v>
      </c>
      <c r="G102" s="211">
        <f>G94-SUM(L98:P98)</f>
        <v>0</v>
      </c>
      <c r="H102" s="105"/>
      <c r="I102" s="105"/>
      <c r="J102" s="105"/>
      <c r="K102" s="106"/>
      <c r="L102" s="118"/>
      <c r="M102" s="118"/>
      <c r="N102" s="118"/>
      <c r="O102" s="105"/>
      <c r="P102" s="106"/>
      <c r="Q102" s="106"/>
      <c r="R102" s="109"/>
      <c r="S102" s="105"/>
      <c r="T102" s="105"/>
      <c r="U102" s="105"/>
      <c r="V102" s="105"/>
      <c r="W102" s="105"/>
      <c r="X102" s="105"/>
    </row>
    <row r="103" spans="1:24" s="105" customFormat="1">
      <c r="A103" s="118"/>
      <c r="B103" s="118"/>
      <c r="C103" s="119"/>
      <c r="D103" s="248"/>
      <c r="E103" s="34"/>
      <c r="F103" s="35"/>
      <c r="G103" s="211"/>
      <c r="H103" s="105" t="s">
        <v>312</v>
      </c>
      <c r="K103" s="106"/>
      <c r="L103" s="3"/>
      <c r="M103" s="3"/>
      <c r="N103" s="3"/>
      <c r="P103" s="106"/>
      <c r="Q103" s="106"/>
      <c r="R103" s="109"/>
    </row>
    <row r="104" spans="1:24" s="105" customFormat="1">
      <c r="A104" s="118"/>
      <c r="B104" s="118"/>
      <c r="C104" s="119"/>
      <c r="D104" s="107"/>
      <c r="E104" s="123" t="s">
        <v>299</v>
      </c>
      <c r="F104" s="222"/>
      <c r="G104" s="211"/>
      <c r="K104" s="106"/>
      <c r="L104" s="211"/>
      <c r="M104" s="211"/>
      <c r="N104" s="211"/>
      <c r="O104" s="211"/>
      <c r="P104" s="211"/>
      <c r="R104" s="118"/>
      <c r="S104" s="118"/>
      <c r="T104" s="118"/>
      <c r="V104" s="106"/>
      <c r="W104" s="106"/>
      <c r="X104" s="109"/>
    </row>
    <row r="105" spans="1:24" s="105" customFormat="1">
      <c r="A105" s="118"/>
      <c r="B105" s="118"/>
      <c r="C105" s="119"/>
      <c r="D105" s="248" t="s">
        <v>13</v>
      </c>
      <c r="E105" s="34" t="s">
        <v>270</v>
      </c>
      <c r="F105" s="35" t="s">
        <v>14</v>
      </c>
      <c r="G105" s="211"/>
      <c r="K105" s="106"/>
      <c r="L105" s="211">
        <f>IF(SUM(Baseline.Totex.Water)=0,0,$G101*(Baseline.Totex.Water/SUM(Baseline.Totex.Water)))</f>
        <v>-0.21560884451144366</v>
      </c>
      <c r="M105" s="211">
        <f>IF(SUM(Baseline.Totex.Water)=0,0,$G101*(Baseline.Totex.Water/SUM(Baseline.Totex.Water)))</f>
        <v>-0.21766782519002287</v>
      </c>
      <c r="N105" s="211">
        <f>IF(SUM(Baseline.Totex.Water)=0,0,$G101*(Baseline.Totex.Water/SUM(Baseline.Totex.Water)))</f>
        <v>-0.21848454538216797</v>
      </c>
      <c r="O105" s="211">
        <f>IF(SUM(Baseline.Totex.Water)=0,0,$G101*(Baseline.Totex.Water/SUM(Baseline.Totex.Water)))</f>
        <v>-0.21888365460227771</v>
      </c>
      <c r="P105" s="211">
        <f>IF(SUM(Baseline.Totex.Water)=0,0,$G101*(Baseline.Totex.Water/SUM(Baseline.Totex.Water)))</f>
        <v>-0.21591280186450737</v>
      </c>
      <c r="R105" s="118"/>
      <c r="S105" s="118"/>
      <c r="T105" s="118"/>
      <c r="V105" s="106"/>
      <c r="W105" s="106"/>
      <c r="X105" s="109"/>
    </row>
    <row r="106" spans="1:24" s="105" customFormat="1">
      <c r="A106" s="118"/>
      <c r="B106" s="118"/>
      <c r="C106" s="119"/>
      <c r="D106" s="248" t="s">
        <v>13</v>
      </c>
      <c r="E106" s="34" t="s">
        <v>271</v>
      </c>
      <c r="F106" s="35" t="s">
        <v>14</v>
      </c>
      <c r="G106" s="211"/>
      <c r="K106" s="106"/>
      <c r="L106" s="211">
        <f>IF(SUM(Baseline.Totex.Sewerage)=0,0,$G102*(Baseline.Totex.Sewerage/SUM(Baseline.Totex.Sewerage)))</f>
        <v>0</v>
      </c>
      <c r="M106" s="211">
        <f>IF(SUM(Baseline.Totex.Sewerage)=0,0,$G102*(Baseline.Totex.Sewerage/SUM(Baseline.Totex.Sewerage)))</f>
        <v>0</v>
      </c>
      <c r="N106" s="211">
        <f>IF(SUM(Baseline.Totex.Sewerage)=0,0,$G102*(Baseline.Totex.Sewerage/SUM(Baseline.Totex.Sewerage)))</f>
        <v>0</v>
      </c>
      <c r="O106" s="211">
        <f>IF(SUM(Baseline.Totex.Sewerage)=0,0,$G102*(Baseline.Totex.Sewerage/SUM(Baseline.Totex.Sewerage)))</f>
        <v>0</v>
      </c>
      <c r="P106" s="211">
        <f>IF(SUM(Baseline.Totex.Sewerage)=0,0,$G102*(Baseline.Totex.Sewerage/SUM(Baseline.Totex.Sewerage)))</f>
        <v>0</v>
      </c>
      <c r="R106" s="118"/>
      <c r="S106" s="118"/>
      <c r="T106" s="118"/>
      <c r="V106" s="106"/>
      <c r="W106" s="106"/>
      <c r="X106" s="109"/>
    </row>
    <row r="107" spans="1:24" s="105" customFormat="1">
      <c r="A107" s="118"/>
      <c r="B107" s="118"/>
      <c r="C107" s="119"/>
      <c r="D107" s="248"/>
      <c r="E107" s="34"/>
      <c r="F107" s="35"/>
      <c r="G107" s="211"/>
      <c r="K107" s="106"/>
      <c r="L107" s="211"/>
      <c r="M107" s="211"/>
      <c r="N107" s="211"/>
      <c r="O107" s="211"/>
      <c r="P107" s="211"/>
      <c r="R107" s="118"/>
      <c r="S107" s="118"/>
      <c r="T107" s="118"/>
      <c r="V107" s="106"/>
      <c r="W107" s="106"/>
      <c r="X107" s="109"/>
    </row>
    <row r="108" spans="1:24" s="261" customFormat="1">
      <c r="A108" s="118"/>
      <c r="B108" s="118"/>
      <c r="C108" s="119"/>
      <c r="D108" s="107"/>
      <c r="E108" s="123" t="s">
        <v>303</v>
      </c>
      <c r="F108" s="222"/>
      <c r="G108" s="211"/>
      <c r="H108" s="105"/>
      <c r="I108" s="105"/>
      <c r="J108" s="105"/>
      <c r="K108" s="106"/>
      <c r="L108" s="211"/>
      <c r="M108" s="211"/>
      <c r="N108" s="211"/>
      <c r="O108" s="211"/>
      <c r="P108" s="211"/>
      <c r="Q108" s="105"/>
      <c r="R108" s="118"/>
      <c r="S108" s="118"/>
      <c r="T108" s="118"/>
      <c r="U108" s="105"/>
      <c r="V108" s="106"/>
      <c r="W108" s="106"/>
      <c r="X108" s="109"/>
    </row>
    <row r="109" spans="1:24" s="261" customFormat="1">
      <c r="A109" s="118"/>
      <c r="B109" s="118"/>
      <c r="C109" s="119"/>
      <c r="D109" s="248" t="s">
        <v>13</v>
      </c>
      <c r="E109" s="34" t="s">
        <v>270</v>
      </c>
      <c r="F109" s="35" t="s">
        <v>14</v>
      </c>
      <c r="G109" s="211"/>
      <c r="H109" s="105"/>
      <c r="I109" s="105"/>
      <c r="J109" s="105"/>
      <c r="K109" s="106"/>
      <c r="L109" s="211">
        <f>L105*(1+WACC)^Calcs!L7</f>
        <v>-0.24837369242107565</v>
      </c>
      <c r="M109" s="211">
        <f>M105*(1+WACC)^Calcs!M7</f>
        <v>-0.24203239832493623</v>
      </c>
      <c r="N109" s="211">
        <f>N105*(1+WACC)^Calcs!N7</f>
        <v>-0.23449858862049935</v>
      </c>
      <c r="O109" s="211">
        <f>O105*(1+WACC)^Calcs!O7</f>
        <v>-0.22676346616795973</v>
      </c>
      <c r="P109" s="211">
        <f>P105*(1+WACC)^Calcs!P7</f>
        <v>-0.21591280186450737</v>
      </c>
      <c r="Q109" s="105"/>
      <c r="R109" s="118"/>
      <c r="S109" s="118"/>
      <c r="T109" s="118"/>
      <c r="U109" s="105"/>
      <c r="V109" s="106"/>
      <c r="W109" s="106"/>
      <c r="X109" s="109"/>
    </row>
    <row r="110" spans="1:24" s="261" customFormat="1">
      <c r="A110" s="118"/>
      <c r="B110" s="118"/>
      <c r="C110" s="119"/>
      <c r="D110" s="248" t="s">
        <v>13</v>
      </c>
      <c r="E110" s="34" t="s">
        <v>271</v>
      </c>
      <c r="F110" s="35" t="s">
        <v>14</v>
      </c>
      <c r="G110" s="211"/>
      <c r="H110" s="105"/>
      <c r="I110" s="105"/>
      <c r="J110" s="105"/>
      <c r="K110" s="106"/>
      <c r="L110" s="211">
        <f>L106*(1+WACC)^Calcs!L7</f>
        <v>0</v>
      </c>
      <c r="M110" s="211">
        <f>M106*(1+WACC)^Calcs!M7</f>
        <v>0</v>
      </c>
      <c r="N110" s="211">
        <f>N106*(1+WACC)^Calcs!N7</f>
        <v>0</v>
      </c>
      <c r="O110" s="211">
        <f>O106*(1+WACC)^Calcs!O7</f>
        <v>0</v>
      </c>
      <c r="P110" s="211">
        <f>P106*(1+WACC)^Calcs!P7</f>
        <v>0</v>
      </c>
      <c r="Q110" s="105"/>
      <c r="R110" s="118"/>
      <c r="S110" s="118"/>
      <c r="T110" s="118"/>
      <c r="U110" s="105"/>
      <c r="V110" s="106"/>
      <c r="W110" s="106"/>
      <c r="X110" s="109"/>
    </row>
    <row r="111" spans="1:24" s="261" customFormat="1">
      <c r="A111" s="118"/>
      <c r="B111" s="118"/>
      <c r="C111" s="119"/>
      <c r="D111" s="248"/>
      <c r="E111" s="34"/>
      <c r="F111" s="35"/>
      <c r="G111" s="211"/>
      <c r="H111" s="105"/>
      <c r="I111" s="105"/>
      <c r="J111" s="105"/>
      <c r="K111" s="106"/>
      <c r="L111" s="211"/>
      <c r="M111" s="211"/>
      <c r="N111" s="211"/>
      <c r="O111" s="211"/>
      <c r="P111" s="211"/>
      <c r="Q111" s="105"/>
      <c r="R111" s="118"/>
      <c r="S111" s="118"/>
      <c r="T111" s="118"/>
      <c r="U111" s="105"/>
      <c r="V111" s="106"/>
      <c r="W111" s="106"/>
      <c r="X111" s="109"/>
    </row>
    <row r="112" spans="1:24" s="261" customFormat="1">
      <c r="A112" s="118"/>
      <c r="B112" s="118"/>
      <c r="C112" s="119"/>
      <c r="D112" s="108"/>
      <c r="E112" s="282" t="s">
        <v>302</v>
      </c>
      <c r="F112" s="105"/>
      <c r="G112" s="105"/>
      <c r="H112" s="212"/>
      <c r="I112" s="105"/>
      <c r="J112" s="211"/>
      <c r="K112" s="211"/>
      <c r="L112" s="211"/>
      <c r="M112" s="211"/>
      <c r="N112" s="211"/>
      <c r="O112" s="211"/>
      <c r="P112" s="211"/>
      <c r="Q112" s="105"/>
      <c r="R112" s="118"/>
      <c r="S112" s="118"/>
      <c r="T112" s="118"/>
      <c r="U112" s="105"/>
      <c r="V112" s="106"/>
      <c r="W112" s="106"/>
      <c r="X112" s="109"/>
    </row>
    <row r="113" spans="1:24" s="261" customFormat="1">
      <c r="A113" s="118"/>
      <c r="B113" s="118"/>
      <c r="C113" s="119"/>
      <c r="D113" s="251" t="s">
        <v>13</v>
      </c>
      <c r="E113" s="210" t="s">
        <v>300</v>
      </c>
      <c r="F113" s="35" t="s">
        <v>14</v>
      </c>
      <c r="G113" s="105"/>
      <c r="H113" s="105"/>
      <c r="I113" s="105"/>
      <c r="J113" s="105"/>
      <c r="K113" s="106"/>
      <c r="L113" s="110"/>
      <c r="M113" s="105"/>
      <c r="N113" s="105"/>
      <c r="O113" s="105"/>
      <c r="P113" s="125">
        <f>SUM(L109:P109)</f>
        <v>-1.1675809473989784</v>
      </c>
      <c r="Q113" s="105"/>
      <c r="R113" s="118"/>
      <c r="S113" s="118"/>
      <c r="T113" s="118"/>
      <c r="U113" s="105"/>
      <c r="V113" s="106"/>
      <c r="W113" s="106"/>
      <c r="X113" s="109"/>
    </row>
    <row r="114" spans="1:24" s="261" customFormat="1">
      <c r="A114" s="118"/>
      <c r="B114" s="118"/>
      <c r="C114" s="119"/>
      <c r="D114" s="251" t="s">
        <v>13</v>
      </c>
      <c r="E114" s="210" t="s">
        <v>301</v>
      </c>
      <c r="F114" s="35" t="s">
        <v>14</v>
      </c>
      <c r="G114" s="105"/>
      <c r="H114" s="105"/>
      <c r="I114" s="105"/>
      <c r="J114" s="105"/>
      <c r="K114" s="106"/>
      <c r="L114" s="110"/>
      <c r="M114" s="105"/>
      <c r="N114" s="105"/>
      <c r="O114" s="105"/>
      <c r="P114" s="125">
        <f>SUM(L110:P110)</f>
        <v>0</v>
      </c>
      <c r="Q114" s="105"/>
      <c r="R114" s="118"/>
      <c r="S114" s="118"/>
      <c r="T114" s="118"/>
      <c r="U114" s="105"/>
      <c r="V114" s="106"/>
      <c r="W114" s="106"/>
      <c r="X114" s="109"/>
    </row>
    <row r="115" spans="1:24" s="261" customFormat="1">
      <c r="A115" s="118"/>
      <c r="B115" s="118"/>
      <c r="C115" s="119"/>
      <c r="D115" s="251"/>
      <c r="E115" s="210"/>
      <c r="F115" s="35"/>
      <c r="G115" s="105"/>
      <c r="H115" s="105"/>
      <c r="I115" s="105"/>
      <c r="J115" s="105"/>
      <c r="K115" s="106"/>
      <c r="L115" s="110"/>
      <c r="M115" s="105"/>
      <c r="N115" s="105"/>
      <c r="O115" s="105"/>
      <c r="P115" s="105"/>
      <c r="Q115" s="105"/>
      <c r="R115" s="118"/>
      <c r="S115" s="118"/>
      <c r="T115" s="118"/>
      <c r="U115" s="105"/>
      <c r="V115" s="106"/>
      <c r="W115" s="106"/>
      <c r="X115" s="109"/>
    </row>
    <row r="116" spans="1:24" s="23" customFormat="1" ht="13.8">
      <c r="A116" s="20"/>
      <c r="B116" s="20"/>
      <c r="C116" s="20"/>
      <c r="D116" s="247"/>
      <c r="E116" s="22" t="s">
        <v>320</v>
      </c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4" s="261" customFormat="1">
      <c r="A117" s="118"/>
      <c r="B117" s="118"/>
      <c r="C117" s="119"/>
      <c r="D117" s="33"/>
      <c r="E117" s="34"/>
      <c r="F117" s="35"/>
      <c r="G117" s="211"/>
      <c r="H117" s="105"/>
      <c r="I117" s="105"/>
      <c r="J117" s="105"/>
      <c r="K117" s="105"/>
      <c r="L117" s="211"/>
      <c r="M117" s="211"/>
      <c r="N117" s="211"/>
      <c r="O117" s="211"/>
      <c r="P117" s="211"/>
      <c r="Q117" s="105"/>
      <c r="R117" s="118"/>
      <c r="S117" s="118"/>
      <c r="T117" s="118"/>
      <c r="U117" s="105"/>
      <c r="V117" s="106"/>
      <c r="W117" s="106"/>
      <c r="X117" s="109"/>
    </row>
    <row r="118" spans="1:24" s="261" customFormat="1">
      <c r="A118" s="118"/>
      <c r="B118" s="118"/>
      <c r="C118" s="119"/>
      <c r="D118" s="286"/>
      <c r="E118" s="287"/>
      <c r="F118" s="288"/>
      <c r="G118" s="289"/>
      <c r="K118" s="290"/>
      <c r="L118" s="289"/>
      <c r="M118" s="289"/>
      <c r="N118" s="289"/>
      <c r="O118" s="289"/>
      <c r="P118" s="289"/>
      <c r="Q118" s="285"/>
      <c r="R118" s="262"/>
      <c r="S118" s="262"/>
      <c r="T118" s="262"/>
      <c r="V118" s="290"/>
      <c r="W118" s="106"/>
      <c r="X118" s="291"/>
    </row>
    <row r="119" spans="1:24" s="261" customFormat="1">
      <c r="A119" s="118"/>
      <c r="B119" s="118"/>
      <c r="C119" s="119"/>
      <c r="D119" s="292"/>
      <c r="E119" s="293"/>
      <c r="F119" s="294"/>
      <c r="K119" s="290"/>
      <c r="L119" s="295"/>
      <c r="M119" s="295"/>
      <c r="N119" s="295"/>
      <c r="O119" s="295"/>
      <c r="P119" s="295"/>
      <c r="Q119" s="288"/>
      <c r="R119" s="262"/>
      <c r="S119" s="262"/>
      <c r="T119" s="262"/>
      <c r="V119" s="290"/>
      <c r="W119" s="106"/>
      <c r="X119" s="291"/>
    </row>
    <row r="120" spans="1:24" s="261" customFormat="1">
      <c r="A120" s="118"/>
      <c r="B120" s="118"/>
      <c r="C120" s="119"/>
      <c r="D120" s="292"/>
      <c r="E120" s="293"/>
      <c r="F120" s="294"/>
      <c r="K120" s="295"/>
      <c r="L120" s="295"/>
      <c r="M120" s="295"/>
      <c r="N120" s="295"/>
      <c r="O120" s="295"/>
      <c r="P120" s="295"/>
      <c r="Q120" s="288"/>
      <c r="R120" s="262"/>
      <c r="S120" s="262"/>
      <c r="T120" s="262"/>
      <c r="V120" s="290"/>
      <c r="W120" s="106"/>
      <c r="X120" s="291"/>
    </row>
    <row r="121" spans="1:24" s="261" customFormat="1">
      <c r="A121" s="118"/>
      <c r="B121" s="118"/>
      <c r="C121" s="119"/>
      <c r="D121" s="248"/>
      <c r="E121" s="34"/>
      <c r="F121" s="35"/>
      <c r="G121" s="211"/>
      <c r="H121" s="105"/>
      <c r="I121" s="105"/>
      <c r="J121" s="105"/>
      <c r="K121" s="106"/>
      <c r="L121" s="211"/>
      <c r="M121" s="211"/>
      <c r="N121" s="211"/>
      <c r="O121" s="211"/>
      <c r="P121" s="211"/>
      <c r="Q121" s="105"/>
      <c r="R121" s="118"/>
      <c r="S121" s="118"/>
      <c r="T121" s="118"/>
      <c r="U121" s="105"/>
      <c r="V121" s="106"/>
      <c r="W121" s="106"/>
      <c r="X121" s="109"/>
    </row>
    <row r="122" spans="1:24" s="261" customFormat="1">
      <c r="A122" s="118"/>
      <c r="B122" s="118"/>
      <c r="C122" s="119"/>
      <c r="D122" s="107"/>
      <c r="E122" s="123" t="s">
        <v>314</v>
      </c>
      <c r="F122" s="222"/>
      <c r="G122" s="110"/>
      <c r="H122" s="105"/>
      <c r="I122" s="105"/>
      <c r="J122" s="105"/>
      <c r="K122" s="106"/>
      <c r="L122" s="110"/>
      <c r="M122" s="110"/>
      <c r="N122" s="110"/>
      <c r="O122" s="110"/>
      <c r="P122" s="110"/>
      <c r="Q122" s="105"/>
      <c r="R122" s="118"/>
      <c r="S122" s="118"/>
      <c r="T122" s="118"/>
      <c r="U122" s="105"/>
      <c r="V122" s="106"/>
      <c r="W122" s="106"/>
      <c r="X122" s="109"/>
    </row>
    <row r="123" spans="1:24" s="277" customFormat="1">
      <c r="A123" s="118"/>
      <c r="B123" s="118"/>
      <c r="C123" s="119"/>
      <c r="D123" s="248" t="s">
        <v>13</v>
      </c>
      <c r="E123" s="34" t="s">
        <v>357</v>
      </c>
      <c r="F123" s="35" t="s">
        <v>14</v>
      </c>
      <c r="G123" s="105"/>
      <c r="H123" s="105"/>
      <c r="I123" s="105"/>
      <c r="J123" s="105"/>
      <c r="K123" s="106"/>
      <c r="L123" s="211"/>
      <c r="M123" s="211"/>
      <c r="N123" s="211">
        <f>BR.IDoK.Water/Indexation.Average</f>
        <v>0</v>
      </c>
      <c r="O123" s="211">
        <f>BR.IDoK.Water/Indexation.Average</f>
        <v>0</v>
      </c>
      <c r="P123" s="211">
        <f>BR.IDoK.Water/Indexation.Average</f>
        <v>0</v>
      </c>
      <c r="Q123" s="105"/>
      <c r="R123" s="118"/>
      <c r="S123" s="118"/>
      <c r="T123" s="118"/>
      <c r="U123" s="105"/>
      <c r="V123" s="106"/>
      <c r="W123" s="106"/>
      <c r="X123" s="109"/>
    </row>
    <row r="124" spans="1:24" s="261" customFormat="1">
      <c r="A124" s="118"/>
      <c r="B124" s="118"/>
      <c r="C124" s="119"/>
      <c r="D124" s="248"/>
      <c r="E124" s="34"/>
      <c r="F124" s="35"/>
      <c r="G124" s="105"/>
      <c r="H124" s="105"/>
      <c r="I124" s="105"/>
      <c r="J124" s="105"/>
      <c r="K124" s="211"/>
      <c r="L124" s="211"/>
      <c r="M124" s="211"/>
      <c r="N124" s="211"/>
      <c r="O124" s="211"/>
      <c r="P124" s="211"/>
      <c r="Q124" s="105"/>
      <c r="R124" s="118"/>
      <c r="S124" s="118"/>
      <c r="T124" s="118"/>
      <c r="U124" s="105"/>
      <c r="V124" s="106"/>
      <c r="W124" s="106"/>
      <c r="X124" s="109"/>
    </row>
    <row r="125" spans="1:24" s="261" customFormat="1">
      <c r="A125" s="118"/>
      <c r="B125" s="118"/>
      <c r="C125" s="119"/>
      <c r="D125" s="107"/>
      <c r="E125" s="123" t="s">
        <v>315</v>
      </c>
      <c r="F125" s="222"/>
      <c r="G125" s="211"/>
      <c r="H125" s="105"/>
      <c r="I125" s="105"/>
      <c r="J125" s="105"/>
      <c r="K125" s="106"/>
      <c r="L125" s="211"/>
      <c r="M125" s="211"/>
      <c r="N125" s="211"/>
      <c r="O125" s="211"/>
      <c r="P125" s="211"/>
      <c r="Q125" s="105"/>
      <c r="R125" s="118"/>
      <c r="S125" s="118"/>
      <c r="T125" s="118"/>
      <c r="U125" s="105"/>
      <c r="V125" s="106"/>
      <c r="W125" s="106"/>
      <c r="X125" s="109"/>
    </row>
    <row r="126" spans="1:24" s="261" customFormat="1">
      <c r="A126" s="118"/>
      <c r="B126" s="118"/>
      <c r="C126" s="119"/>
      <c r="D126" s="248" t="s">
        <v>13</v>
      </c>
      <c r="E126" s="34" t="s">
        <v>362</v>
      </c>
      <c r="F126" s="35" t="s">
        <v>14</v>
      </c>
      <c r="G126" s="211"/>
      <c r="H126" s="105"/>
      <c r="I126" s="105"/>
      <c r="J126" s="105"/>
      <c r="K126" s="106"/>
      <c r="L126" s="211">
        <f>(L123)*(1+WACC)^Calcs!L7</f>
        <v>0</v>
      </c>
      <c r="M126" s="211">
        <f>(M123)*(1+WACC)^Calcs!M7</f>
        <v>0</v>
      </c>
      <c r="N126" s="211">
        <f>(N123)*(1+WACC)^Calcs!N7</f>
        <v>0</v>
      </c>
      <c r="O126" s="211">
        <f>(O123)*(1+WACC)^Calcs!O7</f>
        <v>0</v>
      </c>
      <c r="P126" s="211">
        <f>(P123)*(1+WACC)^Calcs!P7</f>
        <v>0</v>
      </c>
      <c r="Q126" s="105"/>
      <c r="R126" s="118"/>
      <c r="S126" s="118"/>
      <c r="T126" s="118"/>
      <c r="U126" s="105"/>
      <c r="V126" s="106"/>
      <c r="W126" s="106"/>
      <c r="X126" s="109"/>
    </row>
    <row r="127" spans="1:24" s="261" customFormat="1">
      <c r="A127" s="118"/>
      <c r="B127" s="118"/>
      <c r="C127" s="119"/>
      <c r="D127" s="292"/>
      <c r="E127" s="293"/>
      <c r="F127" s="294"/>
      <c r="G127" s="295"/>
      <c r="K127" s="290"/>
      <c r="L127" s="295"/>
      <c r="M127" s="295"/>
      <c r="N127" s="295"/>
      <c r="O127" s="295"/>
      <c r="P127" s="295"/>
      <c r="R127" s="262"/>
      <c r="S127" s="262"/>
      <c r="T127" s="262"/>
      <c r="V127" s="290"/>
      <c r="W127" s="106"/>
      <c r="X127" s="291"/>
    </row>
    <row r="128" spans="1:24" s="261" customFormat="1">
      <c r="A128" s="118"/>
      <c r="B128" s="118"/>
      <c r="C128" s="119"/>
      <c r="D128" s="248"/>
      <c r="E128" s="34"/>
      <c r="F128" s="35"/>
      <c r="G128" s="211"/>
      <c r="H128" s="105"/>
      <c r="I128" s="105"/>
      <c r="J128" s="105"/>
      <c r="K128" s="106"/>
      <c r="L128" s="211"/>
      <c r="M128" s="211"/>
      <c r="N128" s="211"/>
      <c r="O128" s="211"/>
      <c r="P128" s="211"/>
      <c r="Q128" s="105"/>
      <c r="R128" s="118"/>
      <c r="S128" s="118"/>
      <c r="T128" s="118"/>
      <c r="U128" s="105"/>
      <c r="V128" s="106"/>
      <c r="W128" s="106"/>
      <c r="X128" s="109"/>
    </row>
    <row r="129" spans="1:24" s="261" customFormat="1">
      <c r="A129" s="118"/>
      <c r="B129" s="118"/>
      <c r="C129" s="119"/>
      <c r="D129" s="108"/>
      <c r="E129" s="282" t="s">
        <v>316</v>
      </c>
      <c r="F129" s="105"/>
      <c r="G129" s="105"/>
      <c r="H129" s="212"/>
      <c r="I129" s="105"/>
      <c r="J129" s="211"/>
      <c r="K129" s="211"/>
      <c r="L129" s="211"/>
      <c r="M129" s="211"/>
      <c r="N129" s="211"/>
      <c r="O129" s="211"/>
      <c r="P129" s="211"/>
      <c r="Q129" s="105"/>
      <c r="R129" s="118"/>
      <c r="S129" s="118"/>
      <c r="T129" s="118"/>
      <c r="U129" s="105"/>
      <c r="V129" s="106"/>
      <c r="W129" s="106"/>
      <c r="X129" s="109"/>
    </row>
    <row r="130" spans="1:24" s="261" customFormat="1">
      <c r="A130" s="118"/>
      <c r="B130" s="118"/>
      <c r="C130" s="119"/>
      <c r="D130" s="251" t="s">
        <v>13</v>
      </c>
      <c r="E130" s="34" t="s">
        <v>362</v>
      </c>
      <c r="F130" s="35" t="s">
        <v>14</v>
      </c>
      <c r="G130" s="105"/>
      <c r="H130" s="105"/>
      <c r="I130" s="105"/>
      <c r="J130" s="105"/>
      <c r="K130" s="106"/>
      <c r="L130" s="110"/>
      <c r="M130" s="105"/>
      <c r="N130" s="105"/>
      <c r="O130" s="105"/>
      <c r="P130" s="125">
        <f>SUM(L126:P126)</f>
        <v>0</v>
      </c>
      <c r="Q130" s="105"/>
      <c r="R130" s="118"/>
      <c r="S130" s="118"/>
      <c r="T130" s="118"/>
      <c r="U130" s="105"/>
      <c r="V130" s="106"/>
      <c r="W130" s="106"/>
      <c r="X130" s="109"/>
    </row>
    <row r="131" spans="1:24" s="261" customFormat="1">
      <c r="A131" s="118"/>
      <c r="B131" s="118"/>
      <c r="C131" s="119"/>
      <c r="D131" s="296"/>
      <c r="E131" s="293"/>
      <c r="F131" s="294"/>
      <c r="K131" s="290"/>
      <c r="L131" s="289"/>
      <c r="R131" s="262"/>
      <c r="S131" s="262"/>
      <c r="T131" s="262"/>
      <c r="V131" s="290"/>
      <c r="W131" s="106"/>
      <c r="X131" s="291"/>
    </row>
    <row r="132" spans="1:24" s="261" customFormat="1">
      <c r="A132" s="118"/>
      <c r="B132" s="118"/>
      <c r="C132" s="119"/>
      <c r="D132" s="248"/>
      <c r="E132" s="34"/>
      <c r="F132" s="35"/>
      <c r="G132" s="211"/>
      <c r="H132" s="105"/>
      <c r="I132" s="105"/>
      <c r="J132" s="105"/>
      <c r="K132" s="106"/>
      <c r="L132" s="211"/>
      <c r="M132" s="211"/>
      <c r="N132" s="211"/>
      <c r="O132" s="211"/>
      <c r="P132" s="211"/>
      <c r="Q132" s="105"/>
      <c r="R132" s="118"/>
      <c r="S132" s="118"/>
      <c r="T132" s="118"/>
      <c r="U132" s="105"/>
      <c r="V132" s="106"/>
      <c r="W132" s="106"/>
      <c r="X132" s="109"/>
    </row>
    <row r="133" spans="1:24" s="23" customFormat="1" ht="13.8">
      <c r="A133" s="20"/>
      <c r="B133" s="20"/>
      <c r="C133" s="20"/>
      <c r="D133" s="247"/>
      <c r="E133" s="22" t="s">
        <v>333</v>
      </c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s="261" customFormat="1">
      <c r="A134" s="118"/>
      <c r="B134" s="118"/>
      <c r="C134" s="119"/>
      <c r="D134" s="248"/>
      <c r="E134" s="34"/>
      <c r="F134" s="35"/>
      <c r="G134" s="211"/>
      <c r="H134" s="105"/>
      <c r="I134" s="105"/>
      <c r="J134" s="105"/>
      <c r="K134" s="106"/>
      <c r="L134" s="211"/>
      <c r="M134" s="211"/>
      <c r="N134" s="211"/>
      <c r="O134" s="211"/>
      <c r="P134" s="211"/>
      <c r="Q134" s="105"/>
      <c r="R134" s="118"/>
      <c r="S134" s="118"/>
      <c r="T134" s="118"/>
      <c r="U134" s="105"/>
      <c r="V134" s="106"/>
      <c r="W134" s="106"/>
      <c r="X134" s="109"/>
    </row>
    <row r="135" spans="1:24" s="277" customFormat="1">
      <c r="A135" s="118"/>
      <c r="B135" s="118"/>
      <c r="C135" s="119"/>
      <c r="D135" s="26"/>
      <c r="E135" s="28" t="s">
        <v>330</v>
      </c>
      <c r="F135" s="35"/>
      <c r="G135" s="211"/>
      <c r="H135" s="105"/>
      <c r="I135" s="105"/>
      <c r="J135" s="105"/>
      <c r="K135" s="106"/>
      <c r="L135" s="211"/>
      <c r="M135" s="211"/>
      <c r="N135" s="211"/>
      <c r="O135" s="211"/>
      <c r="P135" s="211"/>
      <c r="Q135" s="105"/>
      <c r="R135" s="118"/>
      <c r="S135" s="118"/>
      <c r="T135" s="118"/>
      <c r="U135" s="105"/>
      <c r="V135" s="283"/>
      <c r="W135" s="284" t="s">
        <v>341</v>
      </c>
      <c r="X135" s="109"/>
    </row>
    <row r="136" spans="1:24" s="277" customFormat="1">
      <c r="A136" s="118"/>
      <c r="B136" s="118"/>
      <c r="C136" s="119"/>
      <c r="D136" s="33" t="s">
        <v>13</v>
      </c>
      <c r="E136" s="34" t="s">
        <v>328</v>
      </c>
      <c r="F136" s="35" t="s">
        <v>14</v>
      </c>
      <c r="G136" s="211"/>
      <c r="H136" s="105"/>
      <c r="I136" s="105"/>
      <c r="J136" s="105"/>
      <c r="K136" s="106"/>
      <c r="L136" s="211">
        <f>Baseline.Totex.Water*(FD.AllExp.Coeff.Water/100)</f>
        <v>76.780337846624803</v>
      </c>
      <c r="M136" s="211">
        <f>Baseline.Totex.Water*(FD.AllExp.Coeff.Water/100)</f>
        <v>77.513560235897387</v>
      </c>
      <c r="N136" s="211">
        <f>Baseline.Totex.Water*(FD.AllExp.Coeff.Water/100)</f>
        <v>77.804401979524144</v>
      </c>
      <c r="O136" s="211">
        <f>Baseline.Totex.Water*(FD.AllExp.Coeff.Water/100)</f>
        <v>77.946528527380607</v>
      </c>
      <c r="P136" s="211">
        <f>Baseline.Totex.Water*(FD.AllExp.Coeff.Water/100)</f>
        <v>76.888579919495598</v>
      </c>
      <c r="Q136" s="105"/>
      <c r="R136" s="118"/>
      <c r="S136" s="118"/>
      <c r="T136" s="118"/>
      <c r="U136" s="105"/>
      <c r="V136" s="283"/>
      <c r="W136" s="283"/>
      <c r="X136" s="109"/>
    </row>
    <row r="137" spans="1:24" s="277" customFormat="1">
      <c r="A137" s="118"/>
      <c r="B137" s="118"/>
      <c r="C137" s="119"/>
      <c r="D137" s="33" t="s">
        <v>13</v>
      </c>
      <c r="E137" s="34" t="s">
        <v>329</v>
      </c>
      <c r="F137" s="35" t="s">
        <v>14</v>
      </c>
      <c r="G137" s="211"/>
      <c r="H137" s="105"/>
      <c r="I137" s="105"/>
      <c r="J137" s="105"/>
      <c r="K137" s="106"/>
      <c r="L137" s="211">
        <f>Baseline.Totex.Sewerage*(FD.AllExp.Coeff.Sewerage/100)</f>
        <v>0</v>
      </c>
      <c r="M137" s="211">
        <f>Baseline.Totex.Sewerage*(FD.AllExp.Coeff.Sewerage/100)</f>
        <v>0</v>
      </c>
      <c r="N137" s="211">
        <f>Baseline.Totex.Sewerage*(FD.AllExp.Coeff.Sewerage/100)</f>
        <v>0</v>
      </c>
      <c r="O137" s="211">
        <f>Baseline.Totex.Sewerage*(FD.AllExp.Coeff.Sewerage/100)</f>
        <v>0</v>
      </c>
      <c r="P137" s="211">
        <f>Baseline.Totex.Sewerage*(FD.AllExp.Coeff.Sewerage/100)</f>
        <v>0</v>
      </c>
      <c r="Q137" s="105"/>
      <c r="R137" s="118"/>
      <c r="S137" s="118"/>
      <c r="T137" s="118"/>
      <c r="U137" s="105"/>
      <c r="V137" s="283"/>
      <c r="W137" s="106"/>
      <c r="X137" s="109"/>
    </row>
    <row r="138" spans="1:24" s="277" customFormat="1">
      <c r="A138" s="118"/>
      <c r="B138" s="118"/>
      <c r="C138" s="119"/>
      <c r="D138" s="33"/>
      <c r="E138" s="34"/>
      <c r="F138" s="35"/>
      <c r="G138" s="211"/>
      <c r="H138" s="105"/>
      <c r="I138" s="105"/>
      <c r="J138" s="105"/>
      <c r="K138" s="106"/>
      <c r="L138" s="211"/>
      <c r="M138" s="211"/>
      <c r="N138" s="211"/>
      <c r="O138" s="211"/>
      <c r="P138" s="211"/>
      <c r="Q138" s="105"/>
      <c r="R138" s="118"/>
      <c r="S138" s="118"/>
      <c r="T138" s="118"/>
      <c r="U138" s="105"/>
      <c r="V138" s="283"/>
      <c r="W138" s="106"/>
      <c r="X138" s="109"/>
    </row>
    <row r="139" spans="1:24" s="277" customFormat="1">
      <c r="A139" s="118"/>
      <c r="B139" s="118"/>
      <c r="C139" s="119"/>
      <c r="D139" s="33"/>
      <c r="E139" s="28" t="s">
        <v>346</v>
      </c>
      <c r="F139" s="35"/>
      <c r="G139" s="211"/>
      <c r="H139" s="105"/>
      <c r="I139" s="105"/>
      <c r="J139" s="105"/>
      <c r="K139" s="106"/>
      <c r="L139" s="211"/>
      <c r="M139" s="211"/>
      <c r="N139" s="211"/>
      <c r="O139" s="211"/>
      <c r="P139" s="211"/>
      <c r="Q139" s="105"/>
      <c r="R139" s="118"/>
      <c r="S139" s="118"/>
      <c r="T139" s="118"/>
      <c r="U139" s="105"/>
      <c r="V139" s="283"/>
      <c r="W139" s="284" t="s">
        <v>342</v>
      </c>
      <c r="X139" s="109"/>
    </row>
    <row r="140" spans="1:24" s="277" customFormat="1">
      <c r="A140" s="118"/>
      <c r="B140" s="118"/>
      <c r="C140" s="119"/>
      <c r="D140" s="33" t="s">
        <v>13</v>
      </c>
      <c r="E140" s="34" t="s">
        <v>347</v>
      </c>
      <c r="F140" s="35" t="s">
        <v>14</v>
      </c>
      <c r="G140" s="283"/>
      <c r="H140" s="105"/>
      <c r="I140" s="105"/>
      <c r="J140" s="105"/>
      <c r="K140" s="106"/>
      <c r="L140" s="211">
        <f>Inputs!L46</f>
        <v>78.446612498546898</v>
      </c>
      <c r="M140" s="211">
        <f>Inputs!M46</f>
        <v>79.106460511086283</v>
      </c>
      <c r="N140" s="211">
        <f>Inputs!N46</f>
        <v>79.397335691717245</v>
      </c>
      <c r="O140" s="211">
        <f>Inputs!O46</f>
        <v>79.539478579339772</v>
      </c>
      <c r="P140" s="211">
        <f>Inputs!P46</f>
        <v>78.482413302341087</v>
      </c>
      <c r="Q140" s="105"/>
      <c r="R140" s="118"/>
      <c r="S140" s="118"/>
      <c r="T140" s="118"/>
      <c r="U140" s="105"/>
      <c r="V140" s="283"/>
      <c r="W140" s="106"/>
      <c r="X140" s="109"/>
    </row>
    <row r="141" spans="1:24" s="277" customFormat="1">
      <c r="A141" s="118"/>
      <c r="B141" s="118"/>
      <c r="C141" s="119"/>
      <c r="D141" s="33" t="s">
        <v>13</v>
      </c>
      <c r="E141" s="34" t="s">
        <v>348</v>
      </c>
      <c r="F141" s="35" t="s">
        <v>14</v>
      </c>
      <c r="G141" s="211"/>
      <c r="H141" s="105"/>
      <c r="I141" s="105"/>
      <c r="J141" s="105"/>
      <c r="K141" s="106"/>
      <c r="L141" s="211">
        <f>Inputs!L47</f>
        <v>0</v>
      </c>
      <c r="M141" s="211">
        <f>Inputs!M47</f>
        <v>0</v>
      </c>
      <c r="N141" s="211">
        <f>Inputs!N47</f>
        <v>0</v>
      </c>
      <c r="O141" s="211">
        <f>Inputs!O47</f>
        <v>0</v>
      </c>
      <c r="P141" s="211">
        <f>Inputs!P47</f>
        <v>0</v>
      </c>
      <c r="Q141" s="105"/>
      <c r="R141" s="118"/>
      <c r="S141" s="118"/>
      <c r="T141" s="118"/>
      <c r="U141" s="105"/>
      <c r="V141" s="106"/>
      <c r="W141" s="106"/>
      <c r="X141" s="109"/>
    </row>
    <row r="142" spans="1:24" s="277" customFormat="1">
      <c r="A142" s="118"/>
      <c r="B142" s="118"/>
      <c r="C142" s="119"/>
      <c r="D142" s="33"/>
      <c r="E142" s="34"/>
      <c r="F142" s="35"/>
      <c r="G142" s="211"/>
      <c r="H142" s="105"/>
      <c r="I142" s="105"/>
      <c r="J142" s="105"/>
      <c r="K142" s="106"/>
      <c r="L142" s="211"/>
      <c r="M142" s="211"/>
      <c r="N142" s="211"/>
      <c r="O142" s="211"/>
      <c r="P142" s="211"/>
      <c r="Q142" s="105"/>
      <c r="R142" s="118"/>
      <c r="S142" s="118"/>
      <c r="T142" s="118"/>
      <c r="U142" s="105"/>
      <c r="V142" s="106"/>
      <c r="W142" s="106"/>
      <c r="X142" s="109"/>
    </row>
    <row r="143" spans="1:24" s="277" customFormat="1">
      <c r="A143" s="118"/>
      <c r="B143" s="118"/>
      <c r="C143" s="119"/>
      <c r="D143" s="33"/>
      <c r="E143" s="28" t="s">
        <v>351</v>
      </c>
      <c r="F143" s="35"/>
      <c r="G143" s="211"/>
      <c r="H143" s="105"/>
      <c r="I143" s="105"/>
      <c r="J143" s="105"/>
      <c r="K143" s="106"/>
      <c r="L143" s="211"/>
      <c r="M143" s="211"/>
      <c r="N143" s="211"/>
      <c r="O143" s="211"/>
      <c r="P143" s="211"/>
      <c r="Q143" s="105"/>
      <c r="R143" s="118"/>
      <c r="S143" s="118"/>
      <c r="T143" s="118"/>
      <c r="U143" s="105"/>
      <c r="V143" s="106"/>
      <c r="W143" s="106"/>
      <c r="X143" s="109"/>
    </row>
    <row r="144" spans="1:24" s="277" customFormat="1">
      <c r="A144" s="118"/>
      <c r="B144" s="118"/>
      <c r="C144" s="119"/>
      <c r="D144" s="33" t="s">
        <v>13</v>
      </c>
      <c r="E144" s="34" t="s">
        <v>349</v>
      </c>
      <c r="F144" s="35" t="s">
        <v>14</v>
      </c>
      <c r="G144" s="34"/>
      <c r="H144" s="105"/>
      <c r="I144" s="105"/>
      <c r="J144" s="105"/>
      <c r="K144" s="106"/>
      <c r="L144" s="211">
        <f>L140-L136</f>
        <v>1.6662746519220946</v>
      </c>
      <c r="M144" s="211">
        <f t="shared" ref="M144:P144" si="5">M140-M136</f>
        <v>1.5929002751888959</v>
      </c>
      <c r="N144" s="211">
        <f t="shared" si="5"/>
        <v>1.5929337121931013</v>
      </c>
      <c r="O144" s="211">
        <f t="shared" si="5"/>
        <v>1.5929500519591642</v>
      </c>
      <c r="P144" s="211">
        <f t="shared" si="5"/>
        <v>1.5938333828454887</v>
      </c>
      <c r="Q144" s="105"/>
      <c r="R144" s="118"/>
      <c r="S144" s="118"/>
      <c r="T144" s="118"/>
      <c r="U144" s="105"/>
      <c r="V144" s="106"/>
      <c r="W144" s="106"/>
      <c r="X144" s="109"/>
    </row>
    <row r="145" spans="1:24" s="277" customFormat="1">
      <c r="A145" s="118"/>
      <c r="B145" s="118"/>
      <c r="C145" s="119"/>
      <c r="D145" s="33" t="s">
        <v>13</v>
      </c>
      <c r="E145" s="34" t="s">
        <v>350</v>
      </c>
      <c r="F145" s="35" t="s">
        <v>14</v>
      </c>
      <c r="G145" s="211"/>
      <c r="H145" s="105"/>
      <c r="I145" s="105"/>
      <c r="J145" s="105"/>
      <c r="K145" s="106"/>
      <c r="L145" s="211">
        <f>L141-L137</f>
        <v>0</v>
      </c>
      <c r="M145" s="211">
        <f t="shared" ref="M145:P145" si="6">M141-M137</f>
        <v>0</v>
      </c>
      <c r="N145" s="211">
        <f t="shared" si="6"/>
        <v>0</v>
      </c>
      <c r="O145" s="211">
        <f t="shared" si="6"/>
        <v>0</v>
      </c>
      <c r="P145" s="211">
        <f t="shared" si="6"/>
        <v>0</v>
      </c>
      <c r="Q145" s="105"/>
      <c r="R145" s="118"/>
      <c r="S145" s="118"/>
      <c r="T145" s="118"/>
      <c r="U145" s="105"/>
      <c r="V145" s="106"/>
      <c r="W145" s="106"/>
      <c r="X145" s="109"/>
    </row>
    <row r="146" spans="1:24" s="277" customFormat="1">
      <c r="A146" s="118"/>
      <c r="B146" s="118"/>
      <c r="C146" s="119"/>
      <c r="D146" s="33"/>
      <c r="E146" s="34"/>
      <c r="F146" s="35"/>
      <c r="G146" s="211"/>
      <c r="H146" s="105"/>
      <c r="I146" s="105"/>
      <c r="J146" s="105"/>
      <c r="K146" s="106"/>
      <c r="L146" s="211"/>
      <c r="M146" s="211"/>
      <c r="N146" s="211"/>
      <c r="O146" s="211"/>
      <c r="P146" s="211"/>
      <c r="Q146" s="105"/>
      <c r="R146" s="118"/>
      <c r="S146" s="118"/>
      <c r="T146" s="118"/>
      <c r="U146" s="105"/>
      <c r="V146" s="106"/>
      <c r="W146" s="106"/>
      <c r="X146" s="109"/>
    </row>
    <row r="147" spans="1:24" s="261" customFormat="1">
      <c r="A147" s="118"/>
      <c r="B147" s="118"/>
      <c r="C147" s="119"/>
      <c r="D147" s="248"/>
      <c r="E147" s="28" t="s">
        <v>291</v>
      </c>
      <c r="F147" s="35"/>
      <c r="G147" s="211"/>
      <c r="H147" s="105"/>
      <c r="I147" s="105"/>
      <c r="J147" s="105"/>
      <c r="K147" s="106"/>
      <c r="L147" s="211"/>
      <c r="M147" s="211"/>
      <c r="N147" s="211"/>
      <c r="O147" s="211"/>
      <c r="P147" s="211"/>
      <c r="Q147" s="105"/>
      <c r="R147" s="118"/>
      <c r="S147" s="118"/>
      <c r="T147" s="118"/>
      <c r="U147" s="105"/>
      <c r="V147" s="106"/>
      <c r="W147" s="106"/>
      <c r="X147" s="109"/>
    </row>
    <row r="148" spans="1:24" s="261" customFormat="1">
      <c r="A148" s="118"/>
      <c r="B148" s="118"/>
      <c r="C148" s="119"/>
      <c r="D148" s="33" t="s">
        <v>13</v>
      </c>
      <c r="E148" s="34" t="s">
        <v>334</v>
      </c>
      <c r="F148" s="35" t="s">
        <v>14</v>
      </c>
      <c r="G148" s="211"/>
      <c r="H148" s="105"/>
      <c r="I148" s="105"/>
      <c r="J148" s="105"/>
      <c r="K148" s="106"/>
      <c r="L148" s="211">
        <f>Baseline.Totex.Water*(AllExp.Coeff.Water/100)</f>
        <v>76.780337846624803</v>
      </c>
      <c r="M148" s="211">
        <f>Baseline.Totex.Water*(AllExp.Coeff.Water/100)</f>
        <v>77.513560235897387</v>
      </c>
      <c r="N148" s="211">
        <f>Baseline.Totex.Water*(AllExp.Coeff.Water/100)</f>
        <v>77.804401979524144</v>
      </c>
      <c r="O148" s="211">
        <f>Baseline.Totex.Water*(AllExp.Coeff.Water/100)</f>
        <v>77.946528527380607</v>
      </c>
      <c r="P148" s="211">
        <f>Baseline.Totex.Water*(AllExp.Coeff.Water/100)</f>
        <v>76.888579919495598</v>
      </c>
      <c r="Q148" s="126" t="s">
        <v>331</v>
      </c>
      <c r="R148" s="118"/>
      <c r="S148" s="118"/>
      <c r="T148" s="118"/>
      <c r="U148" s="105"/>
      <c r="V148" s="106"/>
      <c r="W148" s="106"/>
      <c r="X148" s="109"/>
    </row>
    <row r="149" spans="1:24" s="261" customFormat="1">
      <c r="A149" s="118"/>
      <c r="B149" s="118"/>
      <c r="C149" s="119"/>
      <c r="D149" s="33" t="s">
        <v>13</v>
      </c>
      <c r="E149" s="34" t="s">
        <v>335</v>
      </c>
      <c r="F149" s="35" t="s">
        <v>14</v>
      </c>
      <c r="G149" s="211"/>
      <c r="H149" s="105"/>
      <c r="I149" s="105"/>
      <c r="J149" s="105"/>
      <c r="K149" s="106"/>
      <c r="L149" s="211">
        <f>Baseline.Totex.Sewerage*(AllExp.Coeff.Sewerage/100)</f>
        <v>0</v>
      </c>
      <c r="M149" s="211">
        <f>Baseline.Totex.Sewerage*(AllExp.Coeff.Sewerage/100)</f>
        <v>0</v>
      </c>
      <c r="N149" s="211">
        <f>Baseline.Totex.Sewerage*(AllExp.Coeff.Sewerage/100)</f>
        <v>0</v>
      </c>
      <c r="O149" s="211">
        <f>Baseline.Totex.Sewerage*(AllExp.Coeff.Sewerage/100)</f>
        <v>0</v>
      </c>
      <c r="P149" s="211">
        <f>Baseline.Totex.Sewerage*(AllExp.Coeff.Sewerage/100)</f>
        <v>0</v>
      </c>
      <c r="Q149" s="126" t="s">
        <v>332</v>
      </c>
      <c r="R149" s="118"/>
      <c r="S149" s="118"/>
      <c r="T149" s="118"/>
      <c r="U149" s="105"/>
      <c r="V149" s="106"/>
      <c r="W149" s="106"/>
      <c r="X149" s="109"/>
    </row>
    <row r="150" spans="1:24" s="261" customFormat="1">
      <c r="A150" s="118"/>
      <c r="B150" s="118"/>
      <c r="C150" s="119"/>
      <c r="D150" s="248"/>
      <c r="E150" s="34"/>
      <c r="F150" s="35"/>
      <c r="G150" s="211"/>
      <c r="H150" s="105"/>
      <c r="I150" s="105"/>
      <c r="J150" s="105"/>
      <c r="K150" s="106"/>
      <c r="L150" s="211"/>
      <c r="M150" s="211"/>
      <c r="N150" s="211"/>
      <c r="O150" s="211"/>
      <c r="P150" s="211"/>
      <c r="Q150" s="105"/>
      <c r="R150" s="118"/>
      <c r="S150" s="118"/>
      <c r="T150" s="118"/>
      <c r="U150" s="105"/>
      <c r="V150" s="106"/>
      <c r="W150" s="106"/>
      <c r="X150" s="109"/>
    </row>
    <row r="151" spans="1:24" s="261" customFormat="1">
      <c r="A151" s="118"/>
      <c r="B151" s="118"/>
      <c r="C151" s="119"/>
      <c r="D151" s="248"/>
      <c r="E151" s="28" t="s">
        <v>337</v>
      </c>
      <c r="F151" s="35"/>
      <c r="G151" s="211"/>
      <c r="H151" s="105"/>
      <c r="I151" s="105"/>
      <c r="J151" s="105"/>
      <c r="K151" s="106"/>
      <c r="L151" s="211"/>
      <c r="M151" s="211"/>
      <c r="N151" s="211"/>
      <c r="O151" s="211"/>
      <c r="P151" s="211"/>
      <c r="Q151" s="105"/>
      <c r="R151" s="118"/>
      <c r="S151" s="118"/>
      <c r="T151" s="118"/>
      <c r="U151" s="105"/>
      <c r="V151" s="106"/>
      <c r="W151" s="106"/>
      <c r="X151" s="109"/>
    </row>
    <row r="152" spans="1:24" s="261" customFormat="1">
      <c r="A152" s="118"/>
      <c r="B152" s="118"/>
      <c r="C152" s="119"/>
      <c r="D152" s="33" t="s">
        <v>13</v>
      </c>
      <c r="E152" s="34" t="s">
        <v>336</v>
      </c>
      <c r="F152" s="35" t="s">
        <v>14</v>
      </c>
      <c r="G152" s="211"/>
      <c r="H152" s="105"/>
      <c r="I152" s="105"/>
      <c r="J152" s="105"/>
      <c r="K152" s="106"/>
      <c r="L152" s="211">
        <f>L148+L144</f>
        <v>78.446612498546898</v>
      </c>
      <c r="M152" s="211">
        <f t="shared" ref="M152:P152" si="7">M148+M144</f>
        <v>79.106460511086283</v>
      </c>
      <c r="N152" s="211">
        <f t="shared" si="7"/>
        <v>79.397335691717245</v>
      </c>
      <c r="O152" s="211">
        <f t="shared" si="7"/>
        <v>79.539478579339772</v>
      </c>
      <c r="P152" s="211">
        <f t="shared" si="7"/>
        <v>78.482413302341087</v>
      </c>
      <c r="Q152" s="105"/>
      <c r="R152" s="118"/>
      <c r="S152" s="118"/>
      <c r="T152" s="118"/>
      <c r="U152" s="105"/>
      <c r="V152" s="106"/>
      <c r="W152" s="106"/>
      <c r="X152" s="109"/>
    </row>
    <row r="153" spans="1:24" s="261" customFormat="1">
      <c r="A153" s="118"/>
      <c r="B153" s="118"/>
      <c r="C153" s="119"/>
      <c r="D153" s="33" t="s">
        <v>13</v>
      </c>
      <c r="E153" s="34" t="s">
        <v>338</v>
      </c>
      <c r="F153" s="35" t="s">
        <v>14</v>
      </c>
      <c r="G153" s="211"/>
      <c r="H153" s="105"/>
      <c r="I153" s="105"/>
      <c r="J153" s="105"/>
      <c r="K153" s="106"/>
      <c r="L153" s="211">
        <f>L149+L145</f>
        <v>0</v>
      </c>
      <c r="M153" s="211">
        <f t="shared" ref="M153:P153" si="8">M149+M145</f>
        <v>0</v>
      </c>
      <c r="N153" s="211">
        <f t="shared" si="8"/>
        <v>0</v>
      </c>
      <c r="O153" s="211">
        <f t="shared" si="8"/>
        <v>0</v>
      </c>
      <c r="P153" s="211">
        <f t="shared" si="8"/>
        <v>0</v>
      </c>
      <c r="Q153" s="105"/>
      <c r="R153" s="118"/>
      <c r="S153" s="118"/>
      <c r="T153" s="118"/>
      <c r="U153" s="105"/>
      <c r="V153" s="106"/>
      <c r="W153" s="106"/>
      <c r="X153" s="109"/>
    </row>
    <row r="154" spans="1:24" s="261" customFormat="1">
      <c r="A154" s="118"/>
      <c r="B154" s="118"/>
      <c r="C154" s="119"/>
      <c r="D154" s="248"/>
      <c r="E154" s="34"/>
      <c r="F154" s="35"/>
      <c r="G154" s="211"/>
      <c r="H154" s="105"/>
      <c r="I154" s="105"/>
      <c r="J154" s="105"/>
      <c r="K154" s="106"/>
      <c r="L154" s="211"/>
      <c r="M154" s="211"/>
      <c r="N154" s="211"/>
      <c r="O154" s="211"/>
      <c r="P154" s="211"/>
      <c r="Q154" s="105"/>
      <c r="R154" s="118"/>
      <c r="S154" s="118"/>
      <c r="T154" s="118"/>
      <c r="U154" s="105"/>
      <c r="V154" s="106"/>
      <c r="W154" s="106"/>
      <c r="X154" s="109"/>
    </row>
    <row r="155" spans="1:24" s="261" customFormat="1">
      <c r="A155" s="118"/>
      <c r="B155" s="118"/>
      <c r="C155" s="119"/>
      <c r="D155" s="248"/>
      <c r="E155" s="28" t="s">
        <v>292</v>
      </c>
      <c r="F155" s="35"/>
      <c r="G155" s="211"/>
      <c r="H155" s="105"/>
      <c r="I155" s="105"/>
      <c r="J155" s="105"/>
      <c r="K155" s="106"/>
      <c r="L155" s="211"/>
      <c r="M155" s="211"/>
      <c r="N155" s="211"/>
      <c r="O155" s="211"/>
      <c r="P155" s="211"/>
      <c r="Q155" s="105"/>
      <c r="R155" s="118"/>
      <c r="S155" s="118"/>
      <c r="T155" s="118"/>
      <c r="U155" s="105"/>
      <c r="V155" s="106"/>
      <c r="W155" s="106"/>
      <c r="X155" s="109"/>
    </row>
    <row r="156" spans="1:24" s="261" customFormat="1">
      <c r="A156" s="118"/>
      <c r="B156" s="118"/>
      <c r="C156" s="119"/>
      <c r="D156" s="33" t="s">
        <v>13</v>
      </c>
      <c r="E156" s="34" t="s">
        <v>339</v>
      </c>
      <c r="F156" s="35" t="s">
        <v>14</v>
      </c>
      <c r="G156" s="211"/>
      <c r="H156" s="105"/>
      <c r="I156" s="105"/>
      <c r="J156" s="105"/>
      <c r="K156" s="106"/>
      <c r="L156" s="211">
        <f t="shared" ref="L156:P157" si="9">L148-L136</f>
        <v>0</v>
      </c>
      <c r="M156" s="211">
        <f t="shared" si="9"/>
        <v>0</v>
      </c>
      <c r="N156" s="211">
        <f t="shared" si="9"/>
        <v>0</v>
      </c>
      <c r="O156" s="211">
        <f t="shared" si="9"/>
        <v>0</v>
      </c>
      <c r="P156" s="211">
        <f t="shared" si="9"/>
        <v>0</v>
      </c>
      <c r="Q156" s="105"/>
      <c r="R156" s="118"/>
      <c r="S156" s="118"/>
      <c r="T156" s="118"/>
      <c r="U156" s="105"/>
      <c r="V156" s="106"/>
      <c r="W156" s="106"/>
      <c r="X156" s="109"/>
    </row>
    <row r="157" spans="1:24" s="261" customFormat="1">
      <c r="A157" s="118"/>
      <c r="B157" s="118"/>
      <c r="C157" s="119"/>
      <c r="D157" s="33" t="s">
        <v>13</v>
      </c>
      <c r="E157" s="34" t="s">
        <v>340</v>
      </c>
      <c r="F157" s="35" t="s">
        <v>14</v>
      </c>
      <c r="G157" s="211"/>
      <c r="H157" s="105"/>
      <c r="I157" s="105"/>
      <c r="J157" s="105"/>
      <c r="K157" s="105"/>
      <c r="L157" s="211">
        <f t="shared" si="9"/>
        <v>0</v>
      </c>
      <c r="M157" s="211">
        <f t="shared" si="9"/>
        <v>0</v>
      </c>
      <c r="N157" s="211">
        <f t="shared" si="9"/>
        <v>0</v>
      </c>
      <c r="O157" s="211">
        <f t="shared" si="9"/>
        <v>0</v>
      </c>
      <c r="P157" s="211">
        <f t="shared" si="9"/>
        <v>0</v>
      </c>
      <c r="Q157" s="105"/>
      <c r="R157" s="118"/>
      <c r="S157" s="118"/>
      <c r="T157" s="118"/>
      <c r="U157" s="105"/>
      <c r="V157" s="106"/>
      <c r="W157" s="106"/>
      <c r="X157" s="109"/>
    </row>
    <row r="158" spans="1:24" s="261" customFormat="1">
      <c r="A158" s="118"/>
      <c r="B158" s="118"/>
      <c r="C158" s="119"/>
      <c r="D158" s="33"/>
      <c r="E158" s="34"/>
      <c r="F158" s="35"/>
      <c r="G158" s="211"/>
      <c r="H158" s="105"/>
      <c r="I158" s="105"/>
      <c r="J158" s="105"/>
      <c r="K158" s="105"/>
      <c r="L158" s="211"/>
      <c r="M158" s="211"/>
      <c r="N158" s="211"/>
      <c r="O158" s="211"/>
      <c r="P158" s="211"/>
      <c r="Q158" s="105"/>
      <c r="R158" s="118"/>
      <c r="S158" s="118"/>
      <c r="T158" s="118"/>
      <c r="U158" s="105"/>
      <c r="V158" s="106"/>
      <c r="W158" s="106"/>
      <c r="X158" s="109"/>
    </row>
    <row r="159" spans="1:24" s="23" customFormat="1" ht="13.8">
      <c r="A159" s="20"/>
      <c r="B159" s="20"/>
      <c r="C159" s="20"/>
      <c r="D159" s="247"/>
      <c r="E159" s="22" t="s">
        <v>313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4" s="105" customFormat="1">
      <c r="A160" s="118"/>
      <c r="B160" s="118"/>
      <c r="C160" s="119"/>
      <c r="D160" s="248"/>
      <c r="E160" s="34"/>
      <c r="F160" s="35"/>
      <c r="G160" s="56"/>
      <c r="K160" s="106"/>
      <c r="L160" s="56"/>
      <c r="M160" s="56"/>
      <c r="N160" s="56"/>
      <c r="O160" s="56"/>
      <c r="P160" s="56"/>
      <c r="Q160" s="119"/>
      <c r="R160" s="3"/>
      <c r="S160" s="3"/>
      <c r="T160" s="3"/>
      <c r="V160" s="106"/>
      <c r="W160" s="106"/>
      <c r="X160" s="109"/>
    </row>
    <row r="161" spans="1:24" s="105" customFormat="1">
      <c r="A161" s="118"/>
      <c r="B161" s="118"/>
      <c r="C161" s="119"/>
      <c r="D161" s="107"/>
      <c r="E161" s="123" t="s">
        <v>263</v>
      </c>
      <c r="F161" s="222"/>
      <c r="G161" s="110"/>
      <c r="K161" s="106"/>
      <c r="L161" s="110"/>
      <c r="M161" s="110"/>
      <c r="N161" s="110"/>
      <c r="O161" s="110"/>
      <c r="P161" s="110"/>
      <c r="Q161" s="119"/>
      <c r="R161" s="3"/>
      <c r="S161" s="3"/>
      <c r="T161" s="3"/>
      <c r="V161" s="106"/>
      <c r="W161" s="106"/>
      <c r="X161" s="109"/>
    </row>
    <row r="162" spans="1:24" s="105" customFormat="1">
      <c r="A162" s="118"/>
      <c r="B162" s="118"/>
      <c r="C162" s="119"/>
      <c r="D162" s="248" t="s">
        <v>13</v>
      </c>
      <c r="E162" s="34" t="s">
        <v>261</v>
      </c>
      <c r="F162" s="35" t="s">
        <v>14</v>
      </c>
      <c r="K162" s="106"/>
      <c r="L162" s="295">
        <f>(Actual.Totex.Water-SUM(Inputs!L60:L64))/Indexation.Average+TransitionExp.Water-L148</f>
        <v>-4.2070394037421011</v>
      </c>
      <c r="M162" s="295">
        <f>(Actual.Totex.Water-SUM(Inputs!M60:M64))/Indexation.Average-M148</f>
        <v>-1.4894129707600712</v>
      </c>
      <c r="N162" s="295">
        <f>(Actual.Totex.Water-SUM(Inputs!N60:N64))/Indexation.Average-N148</f>
        <v>4.127001498602425</v>
      </c>
      <c r="O162" s="295">
        <f>(Actual.Totex.Water-SUM(Inputs!O60:O64))/Indexation.Average-O148</f>
        <v>2.8888463292243642</v>
      </c>
      <c r="P162" s="295">
        <f>(Actual.Totex.Water-SUM(Inputs!P60:P64))/Indexation.Average-P148</f>
        <v>0.88189642582926808</v>
      </c>
      <c r="Q162" s="222"/>
      <c r="R162" s="118"/>
      <c r="S162" s="118"/>
      <c r="T162" s="118"/>
      <c r="V162" s="106"/>
      <c r="W162" s="284" t="s">
        <v>344</v>
      </c>
      <c r="X162" s="109"/>
    </row>
    <row r="163" spans="1:24" s="105" customFormat="1">
      <c r="A163" s="118"/>
      <c r="B163" s="118"/>
      <c r="C163" s="119"/>
      <c r="D163" s="248" t="s">
        <v>13</v>
      </c>
      <c r="E163" s="34" t="s">
        <v>262</v>
      </c>
      <c r="F163" s="35" t="s">
        <v>14</v>
      </c>
      <c r="K163" s="211"/>
      <c r="L163" s="295">
        <f>(Actual.Totex.Sewerage-SUM(Inputs!L66:L72))/Indexation.Average+TransitionExp.Sewerage-L149</f>
        <v>0</v>
      </c>
      <c r="M163" s="295">
        <f>(Actual.Totex.Sewerage-SUM(Inputs!M66:M72))/Indexation.Average-M149</f>
        <v>0</v>
      </c>
      <c r="N163" s="295">
        <f>(Actual.Totex.Sewerage-SUM(Inputs!N66:N72))/Indexation.Average-N149</f>
        <v>0</v>
      </c>
      <c r="O163" s="295">
        <f>(Actual.Totex.Sewerage-SUM(Inputs!O66:O72))/Indexation.Average-O149</f>
        <v>0</v>
      </c>
      <c r="P163" s="295">
        <f>(Actual.Totex.Sewerage-SUM(Inputs!P66:P72))/Indexation.Average-P149</f>
        <v>0</v>
      </c>
      <c r="Q163" s="222"/>
      <c r="R163" s="118"/>
      <c r="S163" s="118"/>
      <c r="T163" s="118"/>
      <c r="V163" s="106"/>
      <c r="W163" s="106"/>
      <c r="X163" s="109"/>
    </row>
    <row r="164" spans="1:24" s="105" customFormat="1">
      <c r="A164" s="118"/>
      <c r="B164" s="118"/>
      <c r="C164" s="119"/>
      <c r="D164" s="248"/>
      <c r="E164" s="34"/>
      <c r="F164" s="35"/>
      <c r="G164" s="56"/>
      <c r="K164" s="106"/>
      <c r="L164" s="56"/>
      <c r="M164" s="56"/>
      <c r="N164" s="56"/>
      <c r="O164" s="56"/>
      <c r="P164" s="56"/>
      <c r="Q164" s="119"/>
      <c r="R164" s="3"/>
      <c r="S164" s="3"/>
      <c r="T164" s="3"/>
      <c r="V164" s="106"/>
      <c r="W164" s="106"/>
      <c r="X164" s="109"/>
    </row>
    <row r="165" spans="1:24" s="105" customFormat="1">
      <c r="A165" s="118"/>
      <c r="B165" s="118"/>
      <c r="C165" s="119"/>
      <c r="D165" s="107"/>
      <c r="E165" s="123" t="s">
        <v>201</v>
      </c>
      <c r="G165" s="110"/>
      <c r="K165" s="106"/>
      <c r="L165" s="110"/>
      <c r="M165" s="110"/>
      <c r="N165" s="110"/>
      <c r="O165" s="110"/>
      <c r="P165" s="110"/>
      <c r="Q165" s="119"/>
      <c r="R165" s="118"/>
      <c r="S165" s="118"/>
      <c r="T165" s="118"/>
      <c r="V165" s="106"/>
      <c r="W165" s="106"/>
      <c r="X165" s="109"/>
    </row>
    <row r="166" spans="1:24" s="105" customFormat="1">
      <c r="A166" s="118"/>
      <c r="B166" s="118"/>
      <c r="C166" s="119"/>
      <c r="D166" s="248" t="s">
        <v>13</v>
      </c>
      <c r="E166" s="34" t="s">
        <v>202</v>
      </c>
      <c r="F166" s="35" t="s">
        <v>14</v>
      </c>
      <c r="G166" s="211"/>
      <c r="K166" s="106"/>
      <c r="L166" s="211">
        <f>L162+L156</f>
        <v>-4.2070394037421011</v>
      </c>
      <c r="M166" s="211">
        <f t="shared" ref="L166:P167" si="10">M162+M156</f>
        <v>-1.4894129707600712</v>
      </c>
      <c r="N166" s="211">
        <f t="shared" si="10"/>
        <v>4.127001498602425</v>
      </c>
      <c r="O166" s="211">
        <f t="shared" si="10"/>
        <v>2.8888463292243642</v>
      </c>
      <c r="P166" s="211">
        <f t="shared" si="10"/>
        <v>0.88189642582926808</v>
      </c>
      <c r="Q166" s="126" t="s">
        <v>222</v>
      </c>
      <c r="R166" s="118"/>
      <c r="S166" s="118"/>
      <c r="T166" s="118"/>
      <c r="V166" s="106"/>
      <c r="W166" s="106"/>
      <c r="X166" s="109"/>
    </row>
    <row r="167" spans="1:24" s="105" customFormat="1">
      <c r="A167" s="118"/>
      <c r="B167" s="118"/>
      <c r="C167" s="119"/>
      <c r="D167" s="248" t="s">
        <v>13</v>
      </c>
      <c r="E167" s="34" t="s">
        <v>203</v>
      </c>
      <c r="F167" s="35" t="s">
        <v>14</v>
      </c>
      <c r="G167" s="211"/>
      <c r="K167" s="106"/>
      <c r="L167" s="211">
        <f t="shared" si="10"/>
        <v>0</v>
      </c>
      <c r="M167" s="211">
        <f t="shared" si="10"/>
        <v>0</v>
      </c>
      <c r="N167" s="211">
        <f t="shared" si="10"/>
        <v>0</v>
      </c>
      <c r="O167" s="211">
        <f t="shared" si="10"/>
        <v>0</v>
      </c>
      <c r="P167" s="211">
        <f t="shared" si="10"/>
        <v>0</v>
      </c>
      <c r="Q167" s="126" t="s">
        <v>223</v>
      </c>
      <c r="R167" s="118"/>
      <c r="S167" s="118"/>
      <c r="T167" s="118"/>
      <c r="V167" s="106"/>
      <c r="W167" s="106"/>
      <c r="X167" s="109"/>
    </row>
    <row r="168" spans="1:24" s="105" customFormat="1">
      <c r="A168" s="118"/>
      <c r="B168" s="118"/>
      <c r="C168" s="119"/>
      <c r="D168" s="248"/>
      <c r="E168" s="34"/>
      <c r="F168" s="35"/>
      <c r="G168" s="211"/>
      <c r="K168" s="106"/>
      <c r="L168" s="211"/>
      <c r="M168" s="211"/>
      <c r="N168" s="211"/>
      <c r="O168" s="211"/>
      <c r="P168" s="211"/>
      <c r="Q168" s="126"/>
      <c r="R168" s="3"/>
      <c r="S168" s="3"/>
      <c r="T168" s="3"/>
      <c r="V168" s="106"/>
      <c r="W168" s="106"/>
      <c r="X168" s="109"/>
    </row>
    <row r="169" spans="1:24" s="105" customFormat="1">
      <c r="A169" s="118"/>
      <c r="B169" s="118"/>
      <c r="C169" s="119"/>
      <c r="D169" s="107"/>
      <c r="E169" s="123" t="s">
        <v>243</v>
      </c>
      <c r="J169" s="211"/>
      <c r="K169" s="211"/>
      <c r="L169" s="211"/>
      <c r="M169" s="211"/>
      <c r="N169" s="211"/>
      <c r="O169" s="211"/>
      <c r="P169" s="211"/>
      <c r="Q169" s="211"/>
      <c r="R169" s="211"/>
      <c r="S169" s="3"/>
      <c r="T169" s="3"/>
      <c r="V169" s="106"/>
      <c r="W169" s="106"/>
      <c r="X169" s="109"/>
    </row>
    <row r="170" spans="1:24" s="105" customFormat="1">
      <c r="A170" s="118"/>
      <c r="B170" s="118"/>
      <c r="D170" s="248" t="s">
        <v>13</v>
      </c>
      <c r="E170" s="34" t="s">
        <v>242</v>
      </c>
      <c r="F170" s="35" t="s">
        <v>14</v>
      </c>
      <c r="J170" s="211"/>
      <c r="K170" s="211"/>
      <c r="L170" s="211">
        <f>L166*(1+WACC)^Calcs!L7</f>
        <v>-4.8463592170168415</v>
      </c>
      <c r="M170" s="211">
        <f>M166*(1+WACC)^Calcs!M7</f>
        <v>-1.6561298992840379</v>
      </c>
      <c r="N170" s="211">
        <f>N166*(1+WACC)^Calcs!N7</f>
        <v>4.4294942004439886</v>
      </c>
      <c r="O170" s="211">
        <f>O166*(1+WACC)^Calcs!O7</f>
        <v>2.9928447970764416</v>
      </c>
      <c r="P170" s="211">
        <f>P166*(1+WACC)^Calcs!P7</f>
        <v>0.88189642582926808</v>
      </c>
      <c r="Q170" s="211"/>
      <c r="R170" s="211"/>
      <c r="S170" s="3"/>
      <c r="T170" s="3"/>
      <c r="V170" s="106"/>
      <c r="W170" s="106"/>
      <c r="X170" s="109"/>
    </row>
    <row r="171" spans="1:24" s="105" customFormat="1">
      <c r="A171" s="118"/>
      <c r="B171" s="118"/>
      <c r="C171" s="119"/>
      <c r="D171" s="248" t="s">
        <v>13</v>
      </c>
      <c r="E171" s="34" t="s">
        <v>244</v>
      </c>
      <c r="F171" s="35" t="s">
        <v>14</v>
      </c>
      <c r="J171" s="211"/>
      <c r="K171" s="211"/>
      <c r="L171" s="211">
        <f>L167*(1+WACC)^Calcs!L7</f>
        <v>0</v>
      </c>
      <c r="M171" s="211">
        <f>M167*(1+WACC)^Calcs!M7</f>
        <v>0</v>
      </c>
      <c r="N171" s="211">
        <f>N167*(1+WACC)^Calcs!N7</f>
        <v>0</v>
      </c>
      <c r="O171" s="211">
        <f>O167*(1+WACC)^Calcs!O7</f>
        <v>0</v>
      </c>
      <c r="P171" s="211">
        <f>P167*(1+WACC)^Calcs!P7</f>
        <v>0</v>
      </c>
      <c r="Q171" s="211"/>
      <c r="R171" s="211"/>
      <c r="S171" s="3"/>
      <c r="T171" s="3"/>
      <c r="V171" s="106"/>
      <c r="W171" s="106"/>
      <c r="X171" s="109"/>
    </row>
    <row r="172" spans="1:24" s="105" customFormat="1">
      <c r="A172" s="118"/>
      <c r="B172" s="118"/>
      <c r="C172" s="119"/>
      <c r="D172" s="248"/>
      <c r="E172" s="34"/>
      <c r="F172" s="35"/>
      <c r="J172" s="211"/>
      <c r="K172" s="211"/>
      <c r="L172" s="211"/>
      <c r="M172" s="211"/>
      <c r="N172" s="211"/>
      <c r="O172" s="211"/>
      <c r="P172" s="211"/>
      <c r="Q172" s="211"/>
      <c r="R172" s="211"/>
      <c r="S172" s="3"/>
      <c r="T172" s="3"/>
      <c r="V172" s="106"/>
      <c r="W172" s="106"/>
      <c r="X172" s="109"/>
    </row>
    <row r="173" spans="1:24" s="105" customFormat="1">
      <c r="A173" s="118"/>
      <c r="B173" s="118"/>
      <c r="C173" s="119"/>
      <c r="D173" s="108"/>
      <c r="E173" s="209" t="s">
        <v>228</v>
      </c>
      <c r="H173" s="212"/>
      <c r="J173" s="211"/>
      <c r="K173" s="211"/>
      <c r="L173" s="211"/>
      <c r="M173" s="211"/>
      <c r="N173" s="211"/>
      <c r="O173" s="211"/>
      <c r="P173" s="211"/>
      <c r="Q173" s="211"/>
      <c r="R173" s="211"/>
      <c r="S173" s="3"/>
      <c r="T173" s="3"/>
      <c r="V173" s="106"/>
      <c r="W173" s="106"/>
      <c r="X173" s="109"/>
    </row>
    <row r="174" spans="1:24" s="105" customFormat="1">
      <c r="A174" s="118"/>
      <c r="B174" s="118"/>
      <c r="C174" s="119"/>
      <c r="D174" s="251" t="s">
        <v>13</v>
      </c>
      <c r="E174" s="210" t="s">
        <v>204</v>
      </c>
      <c r="F174" s="35" t="s">
        <v>14</v>
      </c>
      <c r="K174" s="106"/>
      <c r="L174" s="110"/>
      <c r="P174" s="125">
        <f>SUM(L170:P170)</f>
        <v>1.8017463070488193</v>
      </c>
      <c r="Q174" s="126"/>
      <c r="R174" s="3"/>
      <c r="S174" s="3"/>
      <c r="T174" s="3"/>
      <c r="V174" s="106"/>
      <c r="W174" s="106"/>
      <c r="X174" s="109"/>
    </row>
    <row r="175" spans="1:24" s="105" customFormat="1">
      <c r="A175" s="118"/>
      <c r="B175" s="118"/>
      <c r="C175" s="119"/>
      <c r="D175" s="251" t="s">
        <v>13</v>
      </c>
      <c r="E175" s="210" t="s">
        <v>205</v>
      </c>
      <c r="F175" s="35" t="s">
        <v>14</v>
      </c>
      <c r="K175" s="106"/>
      <c r="L175" s="110"/>
      <c r="P175" s="125">
        <f>SUM(L171:P171)</f>
        <v>0</v>
      </c>
      <c r="Q175" s="126"/>
      <c r="R175" s="3"/>
      <c r="S175" s="3"/>
      <c r="T175" s="3"/>
      <c r="V175" s="106"/>
      <c r="W175" s="106"/>
      <c r="X175" s="109"/>
    </row>
    <row r="176" spans="1:24" s="105" customFormat="1">
      <c r="A176" s="118"/>
      <c r="B176" s="118"/>
      <c r="C176" s="119"/>
      <c r="D176" s="251"/>
      <c r="E176" s="210"/>
      <c r="F176" s="35"/>
      <c r="K176" s="106"/>
      <c r="L176" s="110"/>
      <c r="Q176" s="126"/>
      <c r="R176" s="3"/>
      <c r="S176" s="3"/>
      <c r="T176" s="3"/>
      <c r="V176" s="106"/>
      <c r="W176" s="106"/>
      <c r="X176" s="109"/>
    </row>
    <row r="177" spans="1:24" s="23" customFormat="1" ht="13.8">
      <c r="A177" s="20"/>
      <c r="B177" s="20"/>
      <c r="C177" s="20"/>
      <c r="D177" s="247"/>
      <c r="E177" s="22" t="s">
        <v>366</v>
      </c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s="105" customFormat="1">
      <c r="A178" s="118"/>
      <c r="B178" s="118"/>
      <c r="C178" s="119"/>
      <c r="D178" s="248"/>
      <c r="E178" s="34"/>
      <c r="F178" s="35"/>
      <c r="G178" s="56"/>
      <c r="K178" s="106"/>
      <c r="L178" s="56"/>
      <c r="M178" s="56"/>
      <c r="N178" s="56"/>
      <c r="O178" s="56"/>
      <c r="P178" s="56"/>
      <c r="Q178" s="119"/>
      <c r="R178" s="3"/>
      <c r="S178" s="3"/>
      <c r="T178" s="3"/>
      <c r="V178" s="106"/>
      <c r="W178" s="106"/>
      <c r="X178" s="109"/>
    </row>
    <row r="179" spans="1:24" s="105" customFormat="1">
      <c r="A179" s="118"/>
      <c r="B179" s="118"/>
      <c r="C179" s="119"/>
      <c r="D179" s="107"/>
      <c r="E179" s="123" t="s">
        <v>367</v>
      </c>
      <c r="G179" s="110"/>
      <c r="K179" s="106"/>
      <c r="L179" s="110"/>
      <c r="M179" s="110"/>
      <c r="N179" s="110"/>
      <c r="O179" s="110"/>
      <c r="P179" s="110"/>
      <c r="Q179" s="119"/>
      <c r="R179" s="118"/>
      <c r="S179" s="118"/>
      <c r="T179" s="118"/>
      <c r="V179" s="106"/>
      <c r="W179" s="106"/>
      <c r="X179" s="109"/>
    </row>
    <row r="180" spans="1:24" s="105" customFormat="1">
      <c r="A180" s="118"/>
      <c r="B180" s="118"/>
      <c r="C180" s="119"/>
      <c r="D180" s="248" t="s">
        <v>13</v>
      </c>
      <c r="E180" s="34" t="s">
        <v>368</v>
      </c>
      <c r="F180" s="35" t="s">
        <v>14</v>
      </c>
      <c r="G180" s="211"/>
      <c r="K180" s="106"/>
      <c r="L180" s="301">
        <f>(Inputs!L72/Indexation.Average)-Inputs!L151</f>
        <v>0</v>
      </c>
      <c r="M180" s="301">
        <f>(Inputs!M72/Indexation.Average)-Inputs!M151</f>
        <v>0</v>
      </c>
      <c r="N180" s="301">
        <f>(Inputs!N72/Indexation.Average)-Inputs!N151</f>
        <v>0</v>
      </c>
      <c r="O180" s="301">
        <f>(Inputs!O72/Indexation.Average)-Inputs!O151</f>
        <v>0</v>
      </c>
      <c r="P180" s="301">
        <f>(Inputs!P72/Indexation.Average)-Inputs!P151</f>
        <v>0</v>
      </c>
      <c r="Q180" s="126"/>
      <c r="R180" s="118"/>
      <c r="S180" s="118"/>
      <c r="T180" s="118"/>
      <c r="V180" s="106"/>
      <c r="W180" s="106"/>
      <c r="X180" s="109"/>
    </row>
    <row r="181" spans="1:24" s="105" customFormat="1">
      <c r="A181" s="118"/>
      <c r="B181" s="118"/>
      <c r="C181" s="119"/>
      <c r="D181" s="248"/>
      <c r="E181" s="34"/>
      <c r="F181" s="35"/>
      <c r="G181" s="211"/>
      <c r="K181" s="106"/>
      <c r="L181" s="211"/>
      <c r="M181" s="211"/>
      <c r="N181" s="211"/>
      <c r="O181" s="211"/>
      <c r="P181" s="211"/>
      <c r="Q181" s="126"/>
      <c r="R181" s="3"/>
      <c r="S181" s="3"/>
      <c r="T181" s="3"/>
      <c r="V181" s="106"/>
      <c r="W181" s="106"/>
      <c r="X181" s="109"/>
    </row>
    <row r="182" spans="1:24" s="105" customFormat="1">
      <c r="A182" s="118"/>
      <c r="B182" s="118"/>
      <c r="C182" s="119"/>
      <c r="D182" s="107"/>
      <c r="E182" s="123" t="s">
        <v>369</v>
      </c>
      <c r="J182" s="211"/>
      <c r="K182" s="211"/>
      <c r="L182" s="211"/>
      <c r="M182" s="211"/>
      <c r="N182" s="211"/>
      <c r="O182" s="211"/>
      <c r="P182" s="211"/>
      <c r="Q182" s="211"/>
      <c r="R182" s="211"/>
      <c r="S182" s="3"/>
      <c r="T182" s="3"/>
      <c r="V182" s="106"/>
      <c r="W182" s="106"/>
      <c r="X182" s="109"/>
    </row>
    <row r="183" spans="1:24" s="105" customFormat="1">
      <c r="A183" s="118"/>
      <c r="B183" s="118"/>
      <c r="C183" s="119"/>
      <c r="D183" s="248" t="s">
        <v>13</v>
      </c>
      <c r="E183" s="34" t="s">
        <v>370</v>
      </c>
      <c r="F183" s="35" t="s">
        <v>14</v>
      </c>
      <c r="J183" s="211"/>
      <c r="K183" s="211"/>
      <c r="L183" s="301">
        <f>L180*(1+WACC)^Calcs!L7</f>
        <v>0</v>
      </c>
      <c r="M183" s="301">
        <f>M180*(1+WACC)^Calcs!M7</f>
        <v>0</v>
      </c>
      <c r="N183" s="301">
        <f>N180*(1+WACC)^Calcs!N7</f>
        <v>0</v>
      </c>
      <c r="O183" s="301">
        <f>O180*(1+WACC)^Calcs!O7</f>
        <v>0</v>
      </c>
      <c r="P183" s="301">
        <f>P180*(1+WACC)^Calcs!P7</f>
        <v>0</v>
      </c>
      <c r="Q183" s="211"/>
      <c r="R183" s="211"/>
      <c r="S183" s="3"/>
      <c r="T183" s="3"/>
      <c r="V183" s="106"/>
      <c r="W183" s="106"/>
      <c r="X183" s="109"/>
    </row>
    <row r="184" spans="1:24" s="105" customFormat="1">
      <c r="A184" s="118"/>
      <c r="B184" s="118"/>
      <c r="C184" s="119"/>
      <c r="D184" s="248"/>
      <c r="E184" s="34"/>
      <c r="F184" s="35"/>
      <c r="J184" s="211"/>
      <c r="K184" s="211"/>
      <c r="L184" s="211"/>
      <c r="M184" s="211"/>
      <c r="N184" s="211"/>
      <c r="O184" s="211"/>
      <c r="P184" s="211"/>
      <c r="Q184" s="211"/>
      <c r="R184" s="211"/>
      <c r="S184" s="3"/>
      <c r="T184" s="3"/>
      <c r="V184" s="106"/>
      <c r="W184" s="106"/>
      <c r="X184" s="109"/>
    </row>
    <row r="185" spans="1:24" s="105" customFormat="1">
      <c r="A185" s="118"/>
      <c r="B185" s="118"/>
      <c r="C185" s="119"/>
      <c r="D185" s="108"/>
      <c r="E185" s="209" t="s">
        <v>371</v>
      </c>
      <c r="H185" s="212"/>
      <c r="J185" s="211"/>
      <c r="K185" s="211"/>
      <c r="L185" s="211"/>
      <c r="M185" s="211"/>
      <c r="N185" s="211"/>
      <c r="O185" s="211"/>
      <c r="P185" s="211"/>
      <c r="Q185" s="211"/>
      <c r="R185" s="211"/>
      <c r="S185" s="3"/>
      <c r="T185" s="3"/>
      <c r="V185" s="106"/>
      <c r="W185" s="106"/>
      <c r="X185" s="109"/>
    </row>
    <row r="186" spans="1:24" s="105" customFormat="1">
      <c r="A186" s="118"/>
      <c r="B186" s="118"/>
      <c r="C186" s="119"/>
      <c r="D186" s="251" t="s">
        <v>13</v>
      </c>
      <c r="E186" s="210" t="s">
        <v>372</v>
      </c>
      <c r="F186" s="35" t="s">
        <v>14</v>
      </c>
      <c r="K186" s="106"/>
      <c r="L186" s="110"/>
      <c r="P186" s="302">
        <f>SUM(L183:P183)</f>
        <v>0</v>
      </c>
      <c r="Q186" s="126"/>
      <c r="R186" s="3"/>
      <c r="S186" s="3"/>
      <c r="T186" s="3"/>
      <c r="V186" s="106"/>
      <c r="W186" s="106"/>
      <c r="X186" s="109"/>
    </row>
    <row r="187" spans="1:24" s="105" customFormat="1">
      <c r="A187" s="118"/>
      <c r="B187" s="118"/>
      <c r="C187" s="119"/>
      <c r="D187" s="251"/>
      <c r="E187" s="210"/>
      <c r="F187" s="35"/>
      <c r="K187" s="106"/>
      <c r="L187" s="110"/>
      <c r="Q187" s="126"/>
      <c r="R187" s="3"/>
      <c r="S187" s="3"/>
      <c r="T187" s="3"/>
      <c r="V187" s="106"/>
      <c r="W187" s="106"/>
      <c r="X187" s="109"/>
    </row>
    <row r="188" spans="1:24" s="23" customFormat="1" ht="13.8">
      <c r="A188" s="20"/>
      <c r="B188" s="20"/>
      <c r="C188" s="20"/>
      <c r="D188" s="247"/>
      <c r="E188" s="22" t="s">
        <v>252</v>
      </c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</row>
    <row r="189" spans="1:24" s="3" customFormat="1">
      <c r="D189" s="246"/>
    </row>
    <row r="190" spans="1:24" s="23" customFormat="1" ht="13.8">
      <c r="A190" s="20"/>
      <c r="B190" s="20"/>
      <c r="C190" s="20"/>
      <c r="D190" s="247"/>
      <c r="E190" s="22" t="s">
        <v>251</v>
      </c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s="105" customFormat="1">
      <c r="A191" s="118"/>
      <c r="B191" s="118"/>
      <c r="C191" s="119"/>
      <c r="D191" s="252"/>
      <c r="K191" s="106"/>
      <c r="L191" s="110"/>
      <c r="Q191" s="119"/>
      <c r="R191" s="3"/>
      <c r="S191" s="3"/>
      <c r="T191" s="3"/>
      <c r="V191" s="106"/>
      <c r="W191" s="106"/>
      <c r="X191" s="109"/>
    </row>
    <row r="192" spans="1:24">
      <c r="D192" s="29" t="s">
        <v>21</v>
      </c>
      <c r="E192" s="129" t="s">
        <v>123</v>
      </c>
      <c r="F192" s="35"/>
      <c r="G192" s="243">
        <f>IF(SUM(Baseline.Totex.Water)&lt;&gt;0,SUMPRODUCT(PAYG.Water,Baseline.Totex.Water)/SUM(Baseline.Totex.Water),0)</f>
        <v>0.68170913496038588</v>
      </c>
      <c r="H192" s="126" t="s">
        <v>124</v>
      </c>
    </row>
    <row r="193" spans="1:24">
      <c r="D193" s="29" t="s">
        <v>21</v>
      </c>
      <c r="E193" s="129" t="s">
        <v>125</v>
      </c>
      <c r="F193" s="35"/>
      <c r="G193" s="275">
        <f>IF(SUM(Baseline.Totex.Sewerage)&lt;&gt;0,SUMPRODUCT(PAYG.Sewerage,Baseline.Totex.Sewerage)/SUM(Baseline.Totex.Sewerage),0)</f>
        <v>0</v>
      </c>
      <c r="H193" s="126" t="s">
        <v>126</v>
      </c>
    </row>
    <row r="194" spans="1:24"/>
    <row r="195" spans="1:24" s="23" customFormat="1" ht="13.8">
      <c r="A195" s="20"/>
      <c r="B195" s="20"/>
      <c r="C195" s="20"/>
      <c r="D195" s="247"/>
      <c r="E195" s="22" t="s">
        <v>127</v>
      </c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</row>
    <row r="196" spans="1:24" s="105" customFormat="1">
      <c r="A196" s="118"/>
      <c r="B196" s="118"/>
      <c r="C196" s="119"/>
      <c r="D196" s="252"/>
      <c r="K196" s="106"/>
      <c r="L196" s="110"/>
      <c r="Q196" s="119"/>
      <c r="R196" s="3"/>
      <c r="S196" s="3"/>
      <c r="T196" s="3"/>
      <c r="V196" s="106"/>
      <c r="W196" s="106"/>
      <c r="X196" s="109"/>
    </row>
    <row r="197" spans="1:24" s="262" customFormat="1">
      <c r="A197" s="118"/>
      <c r="B197" s="118"/>
      <c r="C197" s="118"/>
      <c r="D197" s="251" t="s">
        <v>13</v>
      </c>
      <c r="E197" s="173" t="s">
        <v>128</v>
      </c>
      <c r="F197" s="35" t="s">
        <v>14</v>
      </c>
      <c r="G197" s="173"/>
      <c r="H197" s="118"/>
      <c r="I197" s="118"/>
      <c r="J197" s="118"/>
      <c r="K197" s="118"/>
      <c r="L197" s="118"/>
      <c r="M197" s="118"/>
      <c r="N197" s="118"/>
      <c r="O197" s="118"/>
      <c r="P197" s="125">
        <f>Total.Adj.Water*WeightedPAYG.Water+P130+P113</f>
        <v>6.0685968997342021E-2</v>
      </c>
      <c r="Q197" s="118"/>
      <c r="R197" s="118"/>
      <c r="S197" s="118"/>
      <c r="T197" s="118"/>
      <c r="U197" s="118"/>
      <c r="V197" s="119"/>
      <c r="W197" s="118"/>
      <c r="X197" s="130"/>
    </row>
    <row r="198" spans="1:24" s="262" customFormat="1">
      <c r="A198" s="118"/>
      <c r="B198" s="118"/>
      <c r="C198" s="118"/>
      <c r="D198" s="251" t="s">
        <v>13</v>
      </c>
      <c r="E198" s="173" t="s">
        <v>129</v>
      </c>
      <c r="F198" s="35" t="s">
        <v>14</v>
      </c>
      <c r="G198" s="173"/>
      <c r="H198" s="118"/>
      <c r="I198" s="118"/>
      <c r="J198" s="118"/>
      <c r="K198" s="118"/>
      <c r="L198" s="118"/>
      <c r="M198" s="118"/>
      <c r="N198" s="118"/>
      <c r="O198" s="118"/>
      <c r="P198" s="297">
        <f>Total.Adj.Sewerage*WeightedPAYG.Sewerage+P114</f>
        <v>0</v>
      </c>
      <c r="Q198" s="118"/>
      <c r="R198" s="118"/>
      <c r="S198" s="118"/>
      <c r="T198" s="118"/>
      <c r="U198" s="118"/>
      <c r="V198" s="119"/>
      <c r="W198" s="118"/>
      <c r="X198" s="130"/>
    </row>
    <row r="199" spans="1:24"/>
    <row r="200" spans="1:24" s="23" customFormat="1" ht="13.8">
      <c r="A200" s="20"/>
      <c r="B200" s="20"/>
      <c r="C200" s="20"/>
      <c r="D200" s="247"/>
      <c r="E200" s="22" t="s">
        <v>130</v>
      </c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s="105" customFormat="1">
      <c r="A201" s="118"/>
      <c r="B201" s="118"/>
      <c r="C201" s="119"/>
      <c r="D201" s="252"/>
      <c r="K201" s="106"/>
      <c r="L201" s="110"/>
      <c r="Q201" s="119"/>
      <c r="R201" s="3"/>
      <c r="S201" s="3"/>
      <c r="T201" s="3"/>
      <c r="V201" s="106"/>
      <c r="W201" s="106"/>
      <c r="X201" s="109"/>
    </row>
    <row r="202" spans="1:24">
      <c r="A202" s="153"/>
      <c r="D202" s="251" t="s">
        <v>13</v>
      </c>
      <c r="E202" s="129" t="s">
        <v>131</v>
      </c>
      <c r="F202" s="35" t="s">
        <v>14</v>
      </c>
      <c r="P202" s="125">
        <f>Total.Adj.Water*(1-WeightedPAYG.Water)</f>
        <v>0.57347939065249887</v>
      </c>
    </row>
    <row r="203" spans="1:24">
      <c r="A203" s="153"/>
      <c r="D203" s="251" t="s">
        <v>13</v>
      </c>
      <c r="E203" s="129" t="s">
        <v>132</v>
      </c>
      <c r="F203" s="35" t="s">
        <v>14</v>
      </c>
      <c r="P203" s="125">
        <f>Total.Adj.Sewerage*(1-WeightedPAYG.Sewerage)+P186</f>
        <v>0</v>
      </c>
    </row>
    <row r="204" spans="1:24"/>
    <row r="205" spans="1:24" ht="13.8" thickBot="1"/>
    <row r="206" spans="1:24" s="3" customFormat="1" ht="13.8" thickBot="1">
      <c r="A206" s="131" t="s">
        <v>133</v>
      </c>
      <c r="B206" s="132"/>
      <c r="C206" s="132"/>
      <c r="D206" s="253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</row>
    <row r="207" spans="1:24"/>
    <row r="208" spans="1:24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</sheetData>
  <pageMargins left="0.75" right="0.75" top="1" bottom="1" header="0.5" footer="0.5"/>
  <pageSetup paperSize="8" scale="76" fitToHeight="0" orientation="landscape" r:id="rId1"/>
  <headerFooter alignWithMargins="0"/>
  <ignoredErrors>
    <ignoredError sqref="I5:U5 G60:G61 G62 G79 G82:G83 G85:G87 G74:G76 G64 G66:G72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X51"/>
  <sheetViews>
    <sheetView showGridLines="0" zoomScale="80" zoomScaleNormal="80" workbookViewId="0">
      <pane xSplit="8" ySplit="7" topLeftCell="I8" activePane="bottomRight" state="frozen"/>
      <selection activeCell="E46" sqref="E46:E48"/>
      <selection pane="topRight" activeCell="E46" sqref="E46:E48"/>
      <selection pane="bottomLeft" activeCell="E46" sqref="E46:E48"/>
      <selection pane="bottomRight" activeCell="P18" sqref="P18"/>
    </sheetView>
  </sheetViews>
  <sheetFormatPr defaultColWidth="0" defaultRowHeight="0" customHeight="1" zeroHeight="1"/>
  <cols>
    <col min="1" max="3" width="2.6640625" style="7" customWidth="1"/>
    <col min="4" max="4" width="9.6640625" style="7" customWidth="1"/>
    <col min="5" max="5" width="29.33203125" style="7" customWidth="1"/>
    <col min="6" max="6" width="17.88671875" style="7" customWidth="1"/>
    <col min="7" max="7" width="11.5546875" style="7" customWidth="1"/>
    <col min="8" max="8" width="4.109375" style="7" customWidth="1"/>
    <col min="9" max="21" width="13.109375" style="7" customWidth="1"/>
    <col min="22" max="22" width="15.88671875" style="7" bestFit="1" customWidth="1"/>
    <col min="23" max="16384" width="9.109375" style="7" hidden="1"/>
  </cols>
  <sheetData>
    <row r="1" spans="1:24" ht="33">
      <c r="A1" s="133"/>
      <c r="B1" s="133"/>
      <c r="C1" s="133"/>
      <c r="D1" s="1" t="s">
        <v>185</v>
      </c>
      <c r="E1" s="1"/>
      <c r="F1" s="1"/>
      <c r="G1" s="1"/>
      <c r="H1" s="1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4" ht="13.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O2" s="2"/>
      <c r="P2" s="2"/>
      <c r="Q2" s="2"/>
      <c r="R2" s="2"/>
      <c r="S2" s="2"/>
      <c r="T2" s="2"/>
      <c r="U2" s="2"/>
    </row>
    <row r="3" spans="1:24" ht="13.2">
      <c r="E3" s="7" t="s">
        <v>1</v>
      </c>
      <c r="I3" s="134" t="str">
        <f t="shared" ref="I3:U3" si="0">AMP.Years</f>
        <v>2012-13</v>
      </c>
      <c r="J3" s="134" t="str">
        <f t="shared" si="0"/>
        <v>2013-14</v>
      </c>
      <c r="K3" s="134" t="str">
        <f t="shared" si="0"/>
        <v>2014-15</v>
      </c>
      <c r="L3" s="10" t="str">
        <f t="shared" si="0"/>
        <v>2015-16</v>
      </c>
      <c r="M3" s="10" t="str">
        <f t="shared" si="0"/>
        <v>2016-17</v>
      </c>
      <c r="N3" s="10" t="str">
        <f t="shared" si="0"/>
        <v>2017-18</v>
      </c>
      <c r="O3" s="10" t="str">
        <f t="shared" si="0"/>
        <v>2018-19</v>
      </c>
      <c r="P3" s="10" t="str">
        <f t="shared" si="0"/>
        <v>2019-20</v>
      </c>
      <c r="Q3" s="134" t="str">
        <f t="shared" si="0"/>
        <v>2020-21</v>
      </c>
      <c r="R3" s="134" t="str">
        <f t="shared" si="0"/>
        <v>2021-22</v>
      </c>
      <c r="S3" s="134" t="str">
        <f t="shared" si="0"/>
        <v>2022-23</v>
      </c>
      <c r="T3" s="134" t="str">
        <f t="shared" si="0"/>
        <v>2023-24</v>
      </c>
      <c r="U3" s="134" t="str">
        <f t="shared" si="0"/>
        <v>2024-25</v>
      </c>
      <c r="V3" s="135" t="s">
        <v>147</v>
      </c>
    </row>
    <row r="4" spans="1:24" ht="13.2">
      <c r="V4" s="135"/>
    </row>
    <row r="5" spans="1:24" ht="13.2">
      <c r="E5" s="7" t="s">
        <v>2</v>
      </c>
      <c r="I5" s="136">
        <f t="shared" ref="I5:U5" si="1">Calendar.Years</f>
        <v>2012</v>
      </c>
      <c r="J5" s="136">
        <f t="shared" si="1"/>
        <v>2013</v>
      </c>
      <c r="K5" s="136">
        <f t="shared" si="1"/>
        <v>2014</v>
      </c>
      <c r="L5" s="136">
        <f t="shared" si="1"/>
        <v>2015</v>
      </c>
      <c r="M5" s="136">
        <f t="shared" si="1"/>
        <v>2016</v>
      </c>
      <c r="N5" s="136">
        <f t="shared" si="1"/>
        <v>2017</v>
      </c>
      <c r="O5" s="136">
        <f t="shared" si="1"/>
        <v>2018</v>
      </c>
      <c r="P5" s="136">
        <f t="shared" si="1"/>
        <v>2019</v>
      </c>
      <c r="Q5" s="136">
        <f t="shared" si="1"/>
        <v>2020</v>
      </c>
      <c r="R5" s="136">
        <f t="shared" si="1"/>
        <v>2021</v>
      </c>
      <c r="S5" s="136">
        <f t="shared" si="1"/>
        <v>2022</v>
      </c>
      <c r="T5" s="136">
        <f t="shared" si="1"/>
        <v>2023</v>
      </c>
      <c r="U5" s="136">
        <f t="shared" si="1"/>
        <v>2024</v>
      </c>
      <c r="V5" s="135" t="s">
        <v>148</v>
      </c>
    </row>
    <row r="6" spans="1:24" ht="13.2">
      <c r="E6" s="7" t="s">
        <v>3</v>
      </c>
      <c r="K6" s="137"/>
      <c r="L6" s="138">
        <v>1</v>
      </c>
      <c r="M6" s="138">
        <v>2</v>
      </c>
      <c r="N6" s="138">
        <v>3</v>
      </c>
      <c r="O6" s="138">
        <v>4</v>
      </c>
      <c r="P6" s="138">
        <v>5</v>
      </c>
      <c r="Q6" s="138">
        <v>6</v>
      </c>
      <c r="R6" s="138">
        <v>7</v>
      </c>
      <c r="S6" s="138">
        <v>8</v>
      </c>
      <c r="T6" s="138">
        <v>9</v>
      </c>
      <c r="U6" s="138">
        <v>10</v>
      </c>
    </row>
    <row r="7" spans="1:24" ht="13.2"/>
    <row r="8" spans="1:24" ht="13.2"/>
    <row r="9" spans="1:24" s="23" customFormat="1" ht="13.8">
      <c r="A9" s="19"/>
      <c r="B9" s="20"/>
      <c r="C9" s="20"/>
      <c r="D9" s="21"/>
      <c r="E9" s="22" t="s">
        <v>186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4" s="105" customFormat="1" ht="13.2">
      <c r="A10" s="118"/>
      <c r="B10" s="118"/>
      <c r="C10" s="119"/>
      <c r="D10" s="128"/>
      <c r="K10" s="106"/>
      <c r="L10" s="110"/>
      <c r="Q10" s="119"/>
      <c r="R10" s="3"/>
      <c r="S10" s="3"/>
      <c r="T10" s="3"/>
      <c r="V10" s="106"/>
      <c r="W10" s="106"/>
      <c r="X10" s="109"/>
    </row>
    <row r="11" spans="1:24" s="118" customFormat="1" ht="13.2">
      <c r="A11" s="153"/>
      <c r="B11" s="3"/>
      <c r="C11" s="3"/>
      <c r="D11" s="248" t="s">
        <v>13</v>
      </c>
      <c r="E11" s="129" t="s">
        <v>128</v>
      </c>
      <c r="F11" s="35" t="s">
        <v>14</v>
      </c>
      <c r="H11" s="3"/>
      <c r="I11" s="3"/>
      <c r="J11" s="3"/>
      <c r="K11" s="3"/>
      <c r="L11" s="3"/>
      <c r="M11" s="3"/>
      <c r="N11" s="3"/>
      <c r="O11" s="3"/>
      <c r="P11" s="125">
        <f>Calcs!P197</f>
        <v>6.0685968997342021E-2</v>
      </c>
      <c r="Q11" s="3"/>
      <c r="R11" s="3"/>
      <c r="S11" s="3"/>
      <c r="T11" s="3"/>
      <c r="U11" s="3"/>
      <c r="V11" s="119"/>
      <c r="X11" s="130"/>
    </row>
    <row r="12" spans="1:24" s="118" customFormat="1" ht="13.2">
      <c r="A12" s="153"/>
      <c r="B12" s="3"/>
      <c r="C12" s="3"/>
      <c r="D12" s="248" t="s">
        <v>13</v>
      </c>
      <c r="E12" s="129" t="s">
        <v>129</v>
      </c>
      <c r="F12" s="35" t="s">
        <v>14</v>
      </c>
      <c r="H12" s="3"/>
      <c r="I12" s="3"/>
      <c r="J12" s="3"/>
      <c r="K12" s="3"/>
      <c r="L12" s="3"/>
      <c r="M12" s="3"/>
      <c r="N12" s="3"/>
      <c r="O12" s="3"/>
      <c r="P12" s="125">
        <f>Calcs!P198</f>
        <v>0</v>
      </c>
      <c r="Q12" s="3"/>
      <c r="R12" s="3"/>
      <c r="S12" s="3"/>
      <c r="T12" s="3"/>
      <c r="U12" s="3"/>
      <c r="V12" s="119"/>
      <c r="X12" s="130"/>
    </row>
    <row r="13" spans="1:24" s="118" customFormat="1" ht="13.2">
      <c r="A13" s="3"/>
      <c r="B13" s="3"/>
      <c r="C13" s="3"/>
      <c r="D13" s="3"/>
      <c r="E13" s="129"/>
      <c r="F13" s="35"/>
      <c r="H13" s="3"/>
      <c r="I13" s="3"/>
      <c r="J13" s="3"/>
      <c r="K13" s="3"/>
      <c r="L13" s="3"/>
      <c r="M13" s="3"/>
      <c r="N13" s="3"/>
      <c r="O13" s="3"/>
      <c r="P13" s="211"/>
      <c r="Q13" s="3"/>
      <c r="R13" s="3"/>
      <c r="S13" s="3"/>
      <c r="T13" s="3"/>
      <c r="U13" s="3"/>
      <c r="V13" s="119"/>
      <c r="X13" s="130"/>
    </row>
    <row r="14" spans="1:24" s="118" customFormat="1" ht="13.2">
      <c r="A14" s="153"/>
      <c r="B14" s="3"/>
      <c r="C14" s="3"/>
      <c r="D14" s="248" t="s">
        <v>13</v>
      </c>
      <c r="E14" s="214" t="s">
        <v>188</v>
      </c>
      <c r="F14" s="35" t="s">
        <v>14</v>
      </c>
      <c r="H14" s="3"/>
      <c r="I14" s="3"/>
      <c r="J14" s="3"/>
      <c r="K14" s="3"/>
      <c r="L14" s="3"/>
      <c r="M14" s="3"/>
      <c r="N14" s="3"/>
      <c r="O14" s="3"/>
      <c r="P14" s="215">
        <f>SUM(P11:P12)</f>
        <v>6.0685968997342021E-2</v>
      </c>
      <c r="Q14" s="3"/>
      <c r="R14" s="3"/>
      <c r="S14" s="3"/>
      <c r="T14" s="3"/>
      <c r="U14" s="3"/>
      <c r="V14" s="119"/>
      <c r="X14" s="130"/>
    </row>
    <row r="15" spans="1:24" s="118" customFormat="1" ht="13.2">
      <c r="A15" s="3"/>
      <c r="B15" s="3"/>
      <c r="C15" s="3"/>
      <c r="D15" s="3"/>
      <c r="E15" s="129"/>
      <c r="F15" s="129"/>
      <c r="G15" s="12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119"/>
      <c r="X15" s="130"/>
    </row>
    <row r="16" spans="1:24" s="23" customFormat="1" ht="13.8">
      <c r="A16" s="19"/>
      <c r="B16" s="20"/>
      <c r="C16" s="20"/>
      <c r="D16" s="21"/>
      <c r="E16" s="22" t="s">
        <v>187</v>
      </c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s="105" customFormat="1" ht="13.2">
      <c r="A17" s="118"/>
      <c r="B17" s="118"/>
      <c r="C17" s="119"/>
      <c r="D17" s="128"/>
      <c r="K17" s="106"/>
      <c r="L17" s="110"/>
      <c r="Q17" s="119"/>
      <c r="R17" s="3"/>
      <c r="S17" s="3"/>
      <c r="T17" s="3"/>
      <c r="V17" s="106"/>
      <c r="W17" s="106"/>
      <c r="X17" s="109"/>
    </row>
    <row r="18" spans="1:24" s="118" customFormat="1" ht="13.2">
      <c r="A18" s="153"/>
      <c r="B18" s="3"/>
      <c r="C18" s="3"/>
      <c r="D18" s="248" t="s">
        <v>13</v>
      </c>
      <c r="E18" s="129" t="s">
        <v>131</v>
      </c>
      <c r="F18" s="35" t="s">
        <v>14</v>
      </c>
      <c r="H18" s="3"/>
      <c r="I18" s="3"/>
      <c r="J18" s="3"/>
      <c r="K18" s="3"/>
      <c r="L18" s="3"/>
      <c r="M18" s="3"/>
      <c r="N18" s="3"/>
      <c r="O18" s="3"/>
      <c r="P18" s="125">
        <f>Calcs!P202</f>
        <v>0.57347939065249887</v>
      </c>
      <c r="Q18" s="3"/>
      <c r="R18" s="3"/>
      <c r="S18" s="3"/>
      <c r="T18" s="3"/>
      <c r="U18" s="3"/>
      <c r="V18" s="119"/>
      <c r="X18" s="130"/>
    </row>
    <row r="19" spans="1:24" s="118" customFormat="1" ht="13.2">
      <c r="A19" s="153"/>
      <c r="B19" s="3"/>
      <c r="C19" s="3"/>
      <c r="D19" s="248" t="s">
        <v>13</v>
      </c>
      <c r="E19" s="129" t="s">
        <v>132</v>
      </c>
      <c r="F19" s="35" t="s">
        <v>14</v>
      </c>
      <c r="H19" s="3"/>
      <c r="I19" s="3"/>
      <c r="J19" s="3"/>
      <c r="K19" s="3"/>
      <c r="L19" s="3"/>
      <c r="M19" s="3"/>
      <c r="N19" s="3"/>
      <c r="O19" s="3"/>
      <c r="P19" s="125">
        <f>Calcs!P203</f>
        <v>0</v>
      </c>
      <c r="Q19" s="3"/>
      <c r="R19" s="3"/>
      <c r="S19" s="3"/>
      <c r="T19" s="3"/>
      <c r="U19" s="3"/>
      <c r="V19" s="119"/>
      <c r="X19" s="130"/>
    </row>
    <row r="20" spans="1:24" customFormat="1" ht="14.4">
      <c r="G20" s="7"/>
    </row>
    <row r="21" spans="1:24" s="118" customFormat="1" ht="13.2">
      <c r="A21" s="153"/>
      <c r="B21" s="3"/>
      <c r="C21" s="3"/>
      <c r="D21" s="248" t="s">
        <v>13</v>
      </c>
      <c r="E21" s="214" t="s">
        <v>189</v>
      </c>
      <c r="F21" s="35" t="s">
        <v>14</v>
      </c>
      <c r="H21" s="3"/>
      <c r="I21" s="3"/>
      <c r="J21" s="3"/>
      <c r="K21" s="3"/>
      <c r="L21" s="3"/>
      <c r="M21" s="3"/>
      <c r="N21" s="3"/>
      <c r="O21" s="3"/>
      <c r="P21" s="215">
        <f>SUM(P18:P19)</f>
        <v>0.57347939065249887</v>
      </c>
      <c r="Q21" s="3"/>
      <c r="R21" s="3"/>
      <c r="S21" s="3"/>
      <c r="T21" s="3"/>
      <c r="U21" s="3"/>
      <c r="V21" s="119"/>
      <c r="X21" s="130"/>
    </row>
    <row r="22" spans="1:24" ht="13.8" thickBot="1"/>
    <row r="23" spans="1:24" ht="13.8" thickBot="1">
      <c r="A23" s="143" t="s">
        <v>133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</row>
    <row r="24" spans="1:24" ht="13.2"/>
    <row r="25" spans="1:24" ht="13.2" hidden="1"/>
    <row r="37" spans="4:16" ht="0" hidden="1" customHeight="1"/>
    <row r="38" spans="4:16" ht="0" hidden="1" customHeight="1">
      <c r="L38" s="7" t="e">
        <f>SUM(INDEX(Actual.Opex.Sewerage,,L6))/Indexation.Nov12.Forecast</f>
        <v>#NAME?</v>
      </c>
      <c r="M38" s="7" t="e">
        <f>SUM(INDEX(Actual.Opex.Sewerage,,M6))/Indexation.Nov12.Forecast</f>
        <v>#NAME?</v>
      </c>
      <c r="N38" s="7" t="e">
        <f>SUM(INDEX(Actual.Opex.Sewerage,,N6))/Indexation.Nov12.Forecast</f>
        <v>#NAME?</v>
      </c>
      <c r="O38" s="7" t="e">
        <f>SUM(INDEX(Actual.Opex.Sewerage,,O6))/Indexation.Nov12.Forecast</f>
        <v>#NAME?</v>
      </c>
      <c r="P38" s="7" t="e">
        <f>SUM(INDEX(Actual.Opex.Sewerage,,P6))/Indexation.Nov12.Forecast</f>
        <v>#NAME?</v>
      </c>
    </row>
    <row r="41" spans="4:16" ht="0" hidden="1" customHeight="1">
      <c r="D41" s="3"/>
      <c r="E41" s="129" t="s">
        <v>189</v>
      </c>
      <c r="F41" s="35" t="s">
        <v>14</v>
      </c>
      <c r="G41" s="118"/>
      <c r="H41" s="3"/>
      <c r="I41" s="3"/>
      <c r="J41" s="3"/>
      <c r="K41" s="3"/>
      <c r="L41" s="3"/>
      <c r="M41" s="3"/>
      <c r="N41" s="3"/>
      <c r="O41" s="3"/>
      <c r="P41" s="53">
        <f>SUM(P18:P19)</f>
        <v>0.57347939065249887</v>
      </c>
    </row>
    <row r="42" spans="4:16" ht="0" hidden="1" customHeight="1"/>
    <row r="43" spans="4:16" ht="0" hidden="1" customHeight="1"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</row>
    <row r="45" spans="4:16" ht="0" hidden="1" customHeight="1"/>
    <row r="46" spans="4:16" ht="0" hidden="1" customHeight="1">
      <c r="E46" s="7" t="s">
        <v>195</v>
      </c>
    </row>
    <row r="47" spans="4:16" ht="0" hidden="1" customHeight="1">
      <c r="E47" s="7" t="s">
        <v>196</v>
      </c>
    </row>
    <row r="48" spans="4:16" ht="0" hidden="1" customHeight="1">
      <c r="E48" s="7" t="s">
        <v>197</v>
      </c>
    </row>
    <row r="51" spans="5:5" ht="0" hidden="1" customHeight="1">
      <c r="E51" s="7" t="s">
        <v>194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16" max="1048575" man="1"/>
  </colBreaks>
  <ignoredErrors>
    <ignoredError sqref="P14:P17 P20:P2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Z59"/>
  <sheetViews>
    <sheetView showGridLines="0" zoomScale="80" zoomScaleNormal="80" workbookViewId="0">
      <pane xSplit="5" ySplit="5" topLeftCell="I6" activePane="bottomRight" state="frozen"/>
      <selection activeCell="M121" sqref="M121"/>
      <selection pane="topRight" activeCell="M121" sqref="M121"/>
      <selection pane="bottomLeft" activeCell="M121" sqref="M121"/>
      <selection pane="bottomRight" activeCell="O12" sqref="O12"/>
    </sheetView>
  </sheetViews>
  <sheetFormatPr defaultColWidth="0" defaultRowHeight="0" customHeight="1" zeroHeight="1"/>
  <cols>
    <col min="1" max="3" width="4.6640625" style="3" customWidth="1"/>
    <col min="4" max="4" width="11.6640625" style="3" customWidth="1"/>
    <col min="5" max="5" width="53.109375" style="3" customWidth="1"/>
    <col min="6" max="7" width="2.6640625" style="3" customWidth="1"/>
    <col min="8" max="21" width="11" style="3" customWidth="1"/>
    <col min="22" max="22" width="22.33203125" style="180" bestFit="1" customWidth="1"/>
    <col min="23" max="26" width="8.88671875" style="3" hidden="1" customWidth="1"/>
    <col min="27" max="259" width="0" style="3" hidden="1" customWidth="1"/>
    <col min="260" max="16384" width="0" style="3" hidden="1"/>
  </cols>
  <sheetData>
    <row r="1" spans="1:24" s="100" customFormat="1" ht="33">
      <c r="A1" s="145"/>
      <c r="B1" s="145"/>
      <c r="C1" s="146"/>
      <c r="D1" s="1" t="s">
        <v>149</v>
      </c>
      <c r="E1" s="1"/>
      <c r="F1" s="1"/>
      <c r="G1" s="1"/>
      <c r="H1" s="1"/>
      <c r="I1" s="147"/>
      <c r="J1" s="147"/>
      <c r="K1" s="148"/>
      <c r="L1" s="148"/>
      <c r="M1" s="147"/>
      <c r="N1" s="147"/>
      <c r="O1" s="147"/>
      <c r="P1" s="147"/>
      <c r="Q1" s="147"/>
      <c r="R1" s="147"/>
      <c r="S1" s="147"/>
      <c r="T1" s="147"/>
      <c r="U1" s="149"/>
      <c r="V1" s="150"/>
      <c r="W1" s="151"/>
      <c r="X1" s="152"/>
    </row>
    <row r="2" spans="1:24" s="100" customFormat="1" ht="13.2">
      <c r="A2" s="153"/>
      <c r="B2" s="154"/>
      <c r="C2" s="155"/>
      <c r="D2" s="154"/>
      <c r="E2" s="172"/>
      <c r="F2" s="172"/>
      <c r="G2" s="172"/>
      <c r="H2" s="200"/>
      <c r="I2" s="201"/>
      <c r="J2" s="201"/>
      <c r="K2" s="201"/>
      <c r="L2" s="201"/>
      <c r="M2" s="201"/>
      <c r="S2" s="118"/>
      <c r="T2" s="118"/>
      <c r="U2" s="119"/>
      <c r="V2" s="3"/>
      <c r="W2" s="151"/>
      <c r="X2" s="152"/>
    </row>
    <row r="3" spans="1:24" s="161" customFormat="1" ht="13.8">
      <c r="A3" s="156"/>
      <c r="B3" s="157"/>
      <c r="C3" s="158"/>
      <c r="D3" s="157"/>
      <c r="E3" s="159" t="s">
        <v>1</v>
      </c>
      <c r="F3" s="159"/>
      <c r="G3" s="159"/>
      <c r="H3" s="134" t="s">
        <v>150</v>
      </c>
      <c r="I3" s="134" t="str">
        <f t="shared" ref="I3:U3" si="0">AMP.Years</f>
        <v>2012-13</v>
      </c>
      <c r="J3" s="134" t="str">
        <f t="shared" si="0"/>
        <v>2013-14</v>
      </c>
      <c r="K3" s="134" t="str">
        <f t="shared" si="0"/>
        <v>2014-15</v>
      </c>
      <c r="L3" s="10" t="str">
        <f t="shared" si="0"/>
        <v>2015-16</v>
      </c>
      <c r="M3" s="10" t="str">
        <f t="shared" si="0"/>
        <v>2016-17</v>
      </c>
      <c r="N3" s="10" t="str">
        <f t="shared" si="0"/>
        <v>2017-18</v>
      </c>
      <c r="O3" s="10" t="str">
        <f t="shared" si="0"/>
        <v>2018-19</v>
      </c>
      <c r="P3" s="10" t="str">
        <f t="shared" si="0"/>
        <v>2019-20</v>
      </c>
      <c r="Q3" s="134" t="str">
        <f t="shared" si="0"/>
        <v>2020-21</v>
      </c>
      <c r="R3" s="134" t="str">
        <f t="shared" si="0"/>
        <v>2021-22</v>
      </c>
      <c r="S3" s="134" t="str">
        <f t="shared" si="0"/>
        <v>2022-23</v>
      </c>
      <c r="T3" s="134" t="str">
        <f t="shared" si="0"/>
        <v>2023-24</v>
      </c>
      <c r="U3" s="134" t="str">
        <f t="shared" si="0"/>
        <v>2024-25</v>
      </c>
      <c r="V3" s="160"/>
    </row>
    <row r="4" spans="1:24" s="164" customFormat="1" ht="18" customHeight="1">
      <c r="A4" s="153"/>
      <c r="B4" s="154"/>
      <c r="C4" s="155"/>
      <c r="D4" s="154"/>
      <c r="E4" s="162"/>
      <c r="F4" s="162"/>
      <c r="G4" s="162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63"/>
    </row>
    <row r="5" spans="1:24" s="156" customFormat="1" ht="13.2">
      <c r="B5" s="157"/>
      <c r="C5" s="158"/>
      <c r="D5" s="157"/>
      <c r="E5" s="157" t="s">
        <v>151</v>
      </c>
      <c r="F5" s="157"/>
      <c r="G5" s="157"/>
      <c r="H5" s="165">
        <v>2011</v>
      </c>
      <c r="I5" s="165">
        <f t="shared" ref="I5:U5" si="1">Calendar.Years</f>
        <v>2012</v>
      </c>
      <c r="J5" s="165">
        <f t="shared" si="1"/>
        <v>2013</v>
      </c>
      <c r="K5" s="165">
        <f t="shared" si="1"/>
        <v>2014</v>
      </c>
      <c r="L5" s="165">
        <f t="shared" si="1"/>
        <v>2015</v>
      </c>
      <c r="M5" s="165">
        <f t="shared" si="1"/>
        <v>2016</v>
      </c>
      <c r="N5" s="165">
        <f t="shared" si="1"/>
        <v>2017</v>
      </c>
      <c r="O5" s="165">
        <f t="shared" si="1"/>
        <v>2018</v>
      </c>
      <c r="P5" s="165">
        <f t="shared" si="1"/>
        <v>2019</v>
      </c>
      <c r="Q5" s="165">
        <f t="shared" si="1"/>
        <v>2020</v>
      </c>
      <c r="R5" s="165">
        <f t="shared" si="1"/>
        <v>2021</v>
      </c>
      <c r="S5" s="165">
        <f t="shared" si="1"/>
        <v>2022</v>
      </c>
      <c r="T5" s="165">
        <f t="shared" si="1"/>
        <v>2023</v>
      </c>
      <c r="U5" s="165">
        <f t="shared" si="1"/>
        <v>2024</v>
      </c>
      <c r="V5" s="166"/>
    </row>
    <row r="6" spans="1:24" s="153" customFormat="1" ht="13.2">
      <c r="B6" s="154"/>
      <c r="C6" s="155"/>
      <c r="D6" s="154"/>
      <c r="E6" s="7" t="s">
        <v>3</v>
      </c>
      <c r="F6" s="154"/>
      <c r="G6" s="154"/>
      <c r="H6" s="138">
        <v>-3</v>
      </c>
      <c r="I6" s="138">
        <v>-2</v>
      </c>
      <c r="J6" s="138">
        <v>-1</v>
      </c>
      <c r="K6" s="138">
        <v>0</v>
      </c>
      <c r="L6" s="138">
        <v>1</v>
      </c>
      <c r="M6" s="138">
        <v>2</v>
      </c>
      <c r="N6" s="138">
        <v>3</v>
      </c>
      <c r="O6" s="138">
        <v>4</v>
      </c>
      <c r="P6" s="138">
        <v>5</v>
      </c>
      <c r="Q6" s="138">
        <v>6</v>
      </c>
      <c r="R6" s="138">
        <v>7</v>
      </c>
      <c r="S6" s="138">
        <v>8</v>
      </c>
      <c r="T6" s="138">
        <v>9</v>
      </c>
      <c r="U6" s="138">
        <v>10</v>
      </c>
      <c r="V6" s="167"/>
    </row>
    <row r="7" spans="1:24" s="153" customFormat="1" ht="12.75" customHeight="1">
      <c r="B7" s="154"/>
      <c r="C7" s="155"/>
      <c r="D7" s="154"/>
      <c r="F7" s="168"/>
      <c r="G7" s="168"/>
      <c r="I7" s="169" t="s">
        <v>152</v>
      </c>
      <c r="J7" s="169" t="s">
        <v>152</v>
      </c>
      <c r="K7" s="169" t="s">
        <v>152</v>
      </c>
      <c r="L7" s="169" t="s">
        <v>152</v>
      </c>
      <c r="M7" s="169" t="s">
        <v>152</v>
      </c>
      <c r="N7" s="169" t="s">
        <v>152</v>
      </c>
      <c r="O7" s="169" t="s">
        <v>152</v>
      </c>
      <c r="P7" s="169" t="s">
        <v>152</v>
      </c>
      <c r="Q7" s="169" t="s">
        <v>152</v>
      </c>
      <c r="R7" s="169" t="s">
        <v>152</v>
      </c>
      <c r="S7" s="169" t="s">
        <v>152</v>
      </c>
      <c r="T7" s="169" t="s">
        <v>152</v>
      </c>
      <c r="U7" s="169" t="s">
        <v>152</v>
      </c>
      <c r="V7" s="167"/>
    </row>
    <row r="8" spans="1:24" s="153" customFormat="1" ht="12.75" customHeight="1">
      <c r="A8" s="139"/>
      <c r="B8" s="140"/>
      <c r="C8" s="140"/>
      <c r="D8" s="141"/>
      <c r="E8" s="142" t="s">
        <v>153</v>
      </c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</row>
    <row r="9" spans="1:24" s="153" customFormat="1" ht="12.75" customHeight="1">
      <c r="B9" s="154"/>
      <c r="C9" s="155"/>
      <c r="D9" s="154"/>
      <c r="E9" s="168"/>
      <c r="F9" s="168"/>
      <c r="G9" s="168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7"/>
    </row>
    <row r="10" spans="1:24" s="153" customFormat="1" ht="12.75" customHeight="1">
      <c r="B10" s="154"/>
      <c r="C10" s="155"/>
      <c r="D10" s="154"/>
      <c r="E10" s="168" t="s">
        <v>154</v>
      </c>
      <c r="F10" s="168"/>
      <c r="G10" s="168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7"/>
    </row>
    <row r="11" spans="1:24" s="153" customFormat="1" ht="13.2">
      <c r="B11" s="16">
        <v>1</v>
      </c>
      <c r="C11" s="155"/>
      <c r="D11" s="154" t="s">
        <v>155</v>
      </c>
      <c r="E11" s="170" t="s">
        <v>156</v>
      </c>
      <c r="F11" s="170"/>
      <c r="G11" s="170"/>
      <c r="I11" s="171">
        <v>242.5</v>
      </c>
      <c r="J11" s="171">
        <v>249.5</v>
      </c>
      <c r="K11" s="303">
        <v>255.7</v>
      </c>
      <c r="L11" s="303">
        <v>258</v>
      </c>
      <c r="M11" s="303">
        <v>261.39999999999998</v>
      </c>
      <c r="N11" s="303">
        <v>270.60000000000002</v>
      </c>
      <c r="O11" s="171">
        <f>[5]Inputs!P52</f>
        <v>279.7</v>
      </c>
      <c r="P11" s="171">
        <f>[5]Inputs!Q52</f>
        <v>288.09100000000001</v>
      </c>
      <c r="Q11" s="171">
        <f>[5]Inputs!R52</f>
        <v>296.84050565812504</v>
      </c>
      <c r="R11" s="171">
        <f>[5]Inputs!S52</f>
        <v>306.04256133352692</v>
      </c>
      <c r="S11" s="171">
        <f>[5]Inputs!T52</f>
        <v>315.22383817353273</v>
      </c>
      <c r="T11" s="171">
        <f>[5]Inputs!U52</f>
        <v>324.6805533187387</v>
      </c>
      <c r="U11" s="171">
        <f>[5]Inputs!V52</f>
        <v>334.4209699183009</v>
      </c>
      <c r="V11" s="167"/>
    </row>
    <row r="12" spans="1:24" s="153" customFormat="1" ht="13.2">
      <c r="B12" s="16">
        <v>2</v>
      </c>
      <c r="C12" s="155"/>
      <c r="D12" s="154" t="s">
        <v>155</v>
      </c>
      <c r="E12" s="170" t="s">
        <v>157</v>
      </c>
      <c r="F12" s="170"/>
      <c r="G12" s="170"/>
      <c r="I12" s="171">
        <v>242.4</v>
      </c>
      <c r="J12" s="171">
        <v>250</v>
      </c>
      <c r="K12" s="303">
        <v>255.9</v>
      </c>
      <c r="L12" s="303">
        <v>258.5</v>
      </c>
      <c r="M12" s="303">
        <v>262.10000000000002</v>
      </c>
      <c r="N12" s="303">
        <v>271.7</v>
      </c>
      <c r="O12" s="171">
        <f>[5]Inputs!P53</f>
        <v>280.7</v>
      </c>
      <c r="P12" s="171">
        <f>[5]Inputs!Q53</f>
        <v>289.12099999999998</v>
      </c>
      <c r="Q12" s="171">
        <f>[5]Inputs!R53</f>
        <v>298.04717438031253</v>
      </c>
      <c r="R12" s="171">
        <f>[5]Inputs!S53</f>
        <v>307.28663678610218</v>
      </c>
      <c r="S12" s="171">
        <f>[5]Inputs!T53</f>
        <v>316.50523588968525</v>
      </c>
      <c r="T12" s="171">
        <f>[5]Inputs!U53</f>
        <v>326.00039296637584</v>
      </c>
      <c r="U12" s="171">
        <f>[5]Inputs!V53</f>
        <v>335.7804047553671</v>
      </c>
      <c r="V12" s="167"/>
    </row>
    <row r="13" spans="1:24" s="153" customFormat="1" ht="13.2">
      <c r="B13" s="16">
        <v>3</v>
      </c>
      <c r="C13" s="155"/>
      <c r="D13" s="154" t="s">
        <v>155</v>
      </c>
      <c r="E13" s="170" t="s">
        <v>158</v>
      </c>
      <c r="F13" s="170"/>
      <c r="G13" s="170"/>
      <c r="I13" s="171">
        <v>241.8</v>
      </c>
      <c r="J13" s="171">
        <v>249.7</v>
      </c>
      <c r="K13" s="303">
        <v>256.3</v>
      </c>
      <c r="L13" s="303">
        <v>258.89999999999998</v>
      </c>
      <c r="M13" s="303">
        <v>263.10000000000002</v>
      </c>
      <c r="N13" s="303">
        <v>272.3</v>
      </c>
      <c r="O13" s="171">
        <f>[5]Inputs!P54</f>
        <v>281.5</v>
      </c>
      <c r="P13" s="171">
        <f>[5]Inputs!Q54</f>
        <v>289.94499999999999</v>
      </c>
      <c r="Q13" s="171">
        <f>[5]Inputs!R54</f>
        <v>298.70535731968755</v>
      </c>
      <c r="R13" s="171">
        <f>[5]Inputs!S54</f>
        <v>307.96522339659782</v>
      </c>
      <c r="S13" s="171">
        <f>[5]Inputs!T54</f>
        <v>317.20418009849578</v>
      </c>
      <c r="T13" s="171">
        <f>[5]Inputs!U54</f>
        <v>326.72030550145064</v>
      </c>
      <c r="U13" s="171">
        <f>[5]Inputs!V54</f>
        <v>336.52191466649418</v>
      </c>
      <c r="V13" s="167"/>
    </row>
    <row r="14" spans="1:24" s="153" customFormat="1" ht="13.2">
      <c r="B14" s="16">
        <v>4</v>
      </c>
      <c r="C14" s="155"/>
      <c r="D14" s="154" t="s">
        <v>155</v>
      </c>
      <c r="E14" s="170" t="s">
        <v>159</v>
      </c>
      <c r="F14" s="170"/>
      <c r="G14" s="170"/>
      <c r="I14" s="171">
        <v>242.1</v>
      </c>
      <c r="J14" s="171">
        <v>249.7</v>
      </c>
      <c r="K14" s="303">
        <v>256</v>
      </c>
      <c r="L14" s="303">
        <v>258.60000000000002</v>
      </c>
      <c r="M14" s="303">
        <v>263.39999999999998</v>
      </c>
      <c r="N14" s="303">
        <v>272.89999999999998</v>
      </c>
      <c r="O14" s="171">
        <f>[5]Inputs!P55</f>
        <v>281.7</v>
      </c>
      <c r="P14" s="171">
        <f>[5]Inputs!Q55</f>
        <v>290.15100000000001</v>
      </c>
      <c r="Q14" s="171">
        <f>[5]Inputs!R55</f>
        <v>299.36354025906252</v>
      </c>
      <c r="R14" s="171">
        <f>[5]Inputs!S55</f>
        <v>308.64381000709341</v>
      </c>
      <c r="S14" s="171">
        <f>[5]Inputs!T55</f>
        <v>317.9031243073062</v>
      </c>
      <c r="T14" s="171">
        <f>[5]Inputs!U55</f>
        <v>327.44021803652538</v>
      </c>
      <c r="U14" s="171">
        <f>[5]Inputs!V55</f>
        <v>337.26342457762115</v>
      </c>
      <c r="V14" s="167"/>
    </row>
    <row r="15" spans="1:24" s="153" customFormat="1" ht="13.2">
      <c r="B15" s="16">
        <v>5</v>
      </c>
      <c r="C15" s="155"/>
      <c r="D15" s="154" t="s">
        <v>155</v>
      </c>
      <c r="E15" s="170" t="s">
        <v>160</v>
      </c>
      <c r="F15" s="170"/>
      <c r="G15" s="170"/>
      <c r="I15" s="171">
        <v>243</v>
      </c>
      <c r="J15" s="171">
        <v>251</v>
      </c>
      <c r="K15" s="303">
        <v>257</v>
      </c>
      <c r="L15" s="303">
        <v>259.8</v>
      </c>
      <c r="M15" s="303">
        <v>264.39999999999998</v>
      </c>
      <c r="N15" s="303">
        <v>274.7</v>
      </c>
      <c r="O15" s="171">
        <f>[5]Inputs!P56</f>
        <v>284.2</v>
      </c>
      <c r="P15" s="171">
        <f>[5]Inputs!Q56</f>
        <v>292.726</v>
      </c>
      <c r="Q15" s="171">
        <f>[5]Inputs!R56</f>
        <v>301.33808907718748</v>
      </c>
      <c r="R15" s="171">
        <f>[5]Inputs!S56</f>
        <v>310.67956983858028</v>
      </c>
      <c r="S15" s="171">
        <f>[5]Inputs!T56</f>
        <v>319.99995693373768</v>
      </c>
      <c r="T15" s="171">
        <f>[5]Inputs!U56</f>
        <v>329.59995564174983</v>
      </c>
      <c r="U15" s="171">
        <f>[5]Inputs!V56</f>
        <v>339.48795431100234</v>
      </c>
      <c r="V15" s="167"/>
    </row>
    <row r="16" spans="1:24" s="153" customFormat="1" ht="13.2">
      <c r="B16" s="16">
        <v>6</v>
      </c>
      <c r="C16" s="155"/>
      <c r="D16" s="154" t="s">
        <v>155</v>
      </c>
      <c r="E16" s="170" t="s">
        <v>161</v>
      </c>
      <c r="F16" s="170"/>
      <c r="G16" s="170"/>
      <c r="I16" s="171">
        <v>244.2</v>
      </c>
      <c r="J16" s="171">
        <v>251.9</v>
      </c>
      <c r="K16" s="303">
        <v>257.60000000000002</v>
      </c>
      <c r="L16" s="303">
        <v>259.60000000000002</v>
      </c>
      <c r="M16" s="303">
        <v>264.89999999999998</v>
      </c>
      <c r="N16" s="303">
        <v>275.10000000000002</v>
      </c>
      <c r="O16" s="171">
        <f>[5]Inputs!P57</f>
        <v>284.10000000000002</v>
      </c>
      <c r="P16" s="171">
        <f>[5]Inputs!Q57</f>
        <v>292.62300000000005</v>
      </c>
      <c r="Q16" s="171">
        <f>[5]Inputs!R57</f>
        <v>301.77687770343755</v>
      </c>
      <c r="R16" s="171">
        <f>[5]Inputs!S57</f>
        <v>311.1319609122441</v>
      </c>
      <c r="S16" s="171">
        <f>[5]Inputs!T57</f>
        <v>320.46591973961142</v>
      </c>
      <c r="T16" s="171">
        <f>[5]Inputs!U57</f>
        <v>330.07989733179977</v>
      </c>
      <c r="U16" s="171">
        <f>[5]Inputs!V57</f>
        <v>339.98229425175379</v>
      </c>
      <c r="V16" s="167"/>
    </row>
    <row r="17" spans="2:22" s="153" customFormat="1" ht="13.2">
      <c r="B17" s="16">
        <v>7</v>
      </c>
      <c r="C17" s="155"/>
      <c r="D17" s="154" t="s">
        <v>155</v>
      </c>
      <c r="E17" s="170" t="s">
        <v>162</v>
      </c>
      <c r="F17" s="170"/>
      <c r="G17" s="170"/>
      <c r="I17" s="171">
        <v>245.6</v>
      </c>
      <c r="J17" s="171">
        <v>251.9</v>
      </c>
      <c r="K17" s="303">
        <v>257.7</v>
      </c>
      <c r="L17" s="303">
        <v>259.5</v>
      </c>
      <c r="M17" s="303">
        <v>264.8</v>
      </c>
      <c r="N17" s="303">
        <v>275.3</v>
      </c>
      <c r="O17" s="171">
        <f>[5]Inputs!P58</f>
        <v>284.5</v>
      </c>
      <c r="P17" s="171">
        <f>[5]Inputs!Q58</f>
        <v>293.03500000000003</v>
      </c>
      <c r="Q17" s="171">
        <f>[5]Inputs!R58</f>
        <v>301.9962720165625</v>
      </c>
      <c r="R17" s="171">
        <f>[5]Inputs!S58</f>
        <v>311.35815644907592</v>
      </c>
      <c r="S17" s="171">
        <f>[5]Inputs!T58</f>
        <v>320.69890114254821</v>
      </c>
      <c r="T17" s="171">
        <f>[5]Inputs!U58</f>
        <v>330.31986817682468</v>
      </c>
      <c r="U17" s="171">
        <f>[5]Inputs!V58</f>
        <v>340.22946422212942</v>
      </c>
      <c r="V17" s="167"/>
    </row>
    <row r="18" spans="2:22" s="153" customFormat="1" ht="13.2">
      <c r="B18" s="16">
        <v>8</v>
      </c>
      <c r="C18" s="155"/>
      <c r="D18" s="154" t="s">
        <v>155</v>
      </c>
      <c r="E18" s="170" t="s">
        <v>163</v>
      </c>
      <c r="F18" s="170"/>
      <c r="G18" s="170"/>
      <c r="H18" s="171">
        <v>238.5</v>
      </c>
      <c r="I18" s="171">
        <v>245.6</v>
      </c>
      <c r="J18" s="171">
        <v>252.1</v>
      </c>
      <c r="K18" s="303">
        <v>257.10000000000002</v>
      </c>
      <c r="L18" s="303">
        <v>259.8</v>
      </c>
      <c r="M18" s="303">
        <v>265.5</v>
      </c>
      <c r="N18" s="303">
        <v>275.8</v>
      </c>
      <c r="O18" s="171">
        <f>[5]Inputs!P59</f>
        <v>284.60000000000002</v>
      </c>
      <c r="P18" s="171">
        <f>[5]Inputs!Q59</f>
        <v>293.13800000000003</v>
      </c>
      <c r="Q18" s="171">
        <f>[5]Inputs!R59</f>
        <v>302.54475779937502</v>
      </c>
      <c r="R18" s="171">
        <f>[5]Inputs!S59</f>
        <v>311.92364529115559</v>
      </c>
      <c r="S18" s="171">
        <f>[5]Inputs!T59</f>
        <v>321.28135464989026</v>
      </c>
      <c r="T18" s="171">
        <f>[5]Inputs!U59</f>
        <v>330.91979528938697</v>
      </c>
      <c r="U18" s="171">
        <f>[5]Inputs!V59</f>
        <v>340.8473891480686</v>
      </c>
      <c r="V18" s="167"/>
    </row>
    <row r="19" spans="2:22" s="153" customFormat="1" ht="13.2">
      <c r="B19" s="16">
        <v>9</v>
      </c>
      <c r="C19" s="155"/>
      <c r="D19" s="154" t="s">
        <v>155</v>
      </c>
      <c r="E19" s="170" t="s">
        <v>164</v>
      </c>
      <c r="F19" s="170"/>
      <c r="G19" s="170"/>
      <c r="I19" s="171">
        <v>246.8</v>
      </c>
      <c r="J19" s="171">
        <v>253.4</v>
      </c>
      <c r="K19" s="303">
        <v>257.5</v>
      </c>
      <c r="L19" s="303">
        <v>260.60000000000002</v>
      </c>
      <c r="M19" s="303">
        <v>267.10000000000002</v>
      </c>
      <c r="N19" s="303">
        <v>278.10000000000002</v>
      </c>
      <c r="O19" s="171">
        <f>[5]Inputs!P60</f>
        <v>285.60000000000002</v>
      </c>
      <c r="P19" s="171">
        <f>[5]Inputs!Q60</f>
        <v>294.16800000000001</v>
      </c>
      <c r="Q19" s="171">
        <f>[5]Inputs!R60</f>
        <v>305.06779240031256</v>
      </c>
      <c r="R19" s="171">
        <f>[5]Inputs!S60</f>
        <v>314.5248939647222</v>
      </c>
      <c r="S19" s="171">
        <f>[5]Inputs!T60</f>
        <v>323.96064078366385</v>
      </c>
      <c r="T19" s="171">
        <f>[5]Inputs!U60</f>
        <v>333.67946000717376</v>
      </c>
      <c r="U19" s="171">
        <f>[5]Inputs!V60</f>
        <v>343.68984380738897</v>
      </c>
      <c r="V19" s="167"/>
    </row>
    <row r="20" spans="2:22" s="153" customFormat="1" ht="13.2">
      <c r="B20" s="16">
        <v>10</v>
      </c>
      <c r="C20" s="155"/>
      <c r="D20" s="154" t="s">
        <v>155</v>
      </c>
      <c r="E20" s="170" t="s">
        <v>165</v>
      </c>
      <c r="F20" s="170"/>
      <c r="G20" s="170"/>
      <c r="I20" s="171">
        <v>245.8</v>
      </c>
      <c r="J20" s="171">
        <v>252.6</v>
      </c>
      <c r="K20" s="303">
        <v>255.4</v>
      </c>
      <c r="L20" s="303">
        <v>258.8</v>
      </c>
      <c r="M20" s="303">
        <v>265.5</v>
      </c>
      <c r="N20" s="303">
        <v>276</v>
      </c>
      <c r="O20" s="171">
        <f>[5]Inputs!P61</f>
        <v>283</v>
      </c>
      <c r="P20" s="171">
        <f>[5]Inputs!Q61</f>
        <v>291.49</v>
      </c>
      <c r="Q20" s="171">
        <f>[5]Inputs!R61</f>
        <v>302.76415211250008</v>
      </c>
      <c r="R20" s="171">
        <f>[5]Inputs!S61</f>
        <v>312.14984082798759</v>
      </c>
      <c r="S20" s="171">
        <f>[5]Inputs!T61</f>
        <v>321.51433605282722</v>
      </c>
      <c r="T20" s="171">
        <f>[5]Inputs!U61</f>
        <v>331.15976613441205</v>
      </c>
      <c r="U20" s="171">
        <f>[5]Inputs!V61</f>
        <v>341.09455911844441</v>
      </c>
      <c r="V20" s="167"/>
    </row>
    <row r="21" spans="2:22" s="153" customFormat="1" ht="13.2">
      <c r="B21" s="16">
        <v>11</v>
      </c>
      <c r="C21" s="155"/>
      <c r="D21" s="154" t="s">
        <v>155</v>
      </c>
      <c r="E21" s="170" t="s">
        <v>166</v>
      </c>
      <c r="F21" s="170"/>
      <c r="G21" s="170"/>
      <c r="I21" s="171">
        <v>247.6</v>
      </c>
      <c r="J21" s="171">
        <v>254.2</v>
      </c>
      <c r="K21" s="303">
        <v>256.7</v>
      </c>
      <c r="L21" s="303">
        <v>260</v>
      </c>
      <c r="M21" s="303">
        <v>268.39999999999998</v>
      </c>
      <c r="N21" s="303">
        <v>278.10000000000002</v>
      </c>
      <c r="O21" s="171">
        <f>[5]Inputs!P62</f>
        <v>285</v>
      </c>
      <c r="P21" s="171">
        <f>[5]Inputs!Q62</f>
        <v>293.55</v>
      </c>
      <c r="Q21" s="171">
        <f>[5]Inputs!R62</f>
        <v>305.06779240031256</v>
      </c>
      <c r="R21" s="171">
        <f>[5]Inputs!S62</f>
        <v>314.5248939647222</v>
      </c>
      <c r="S21" s="171">
        <f>[5]Inputs!T62</f>
        <v>323.96064078366385</v>
      </c>
      <c r="T21" s="171">
        <f>[5]Inputs!U62</f>
        <v>333.67946000717376</v>
      </c>
      <c r="U21" s="171">
        <f>[5]Inputs!V62</f>
        <v>343.68984380738897</v>
      </c>
      <c r="V21" s="167"/>
    </row>
    <row r="22" spans="2:22" s="153" customFormat="1" ht="13.2">
      <c r="B22" s="16">
        <v>12</v>
      </c>
      <c r="C22" s="155"/>
      <c r="D22" s="154" t="s">
        <v>155</v>
      </c>
      <c r="E22" s="170" t="s">
        <v>167</v>
      </c>
      <c r="F22" s="170"/>
      <c r="G22" s="170"/>
      <c r="I22" s="171">
        <v>248.7</v>
      </c>
      <c r="J22" s="171">
        <v>254.8</v>
      </c>
      <c r="K22" s="303">
        <v>257.10000000000002</v>
      </c>
      <c r="L22" s="303">
        <v>261.10000000000002</v>
      </c>
      <c r="M22" s="303">
        <v>269.3</v>
      </c>
      <c r="N22" s="303">
        <v>278.3</v>
      </c>
      <c r="O22" s="171">
        <f>[5]Inputs!P63</f>
        <v>285.10000000000002</v>
      </c>
      <c r="P22" s="171">
        <f>[5]Inputs!Q63</f>
        <v>293.65300000000002</v>
      </c>
      <c r="Q22" s="171">
        <f>[5]Inputs!R63</f>
        <v>305.28718671343756</v>
      </c>
      <c r="R22" s="171">
        <f>[5]Inputs!S63</f>
        <v>314.75108950155408</v>
      </c>
      <c r="S22" s="171">
        <f>[5]Inputs!T63</f>
        <v>324.19362218660069</v>
      </c>
      <c r="T22" s="171">
        <f>[5]Inputs!U63</f>
        <v>333.91943085219873</v>
      </c>
      <c r="U22" s="171">
        <f>[5]Inputs!V63</f>
        <v>343.93701377776472</v>
      </c>
      <c r="V22" s="167"/>
    </row>
    <row r="23" spans="2:22" s="153" customFormat="1" ht="13.2">
      <c r="B23" s="172"/>
      <c r="C23" s="172"/>
      <c r="D23" s="173"/>
      <c r="E23" s="170" t="s">
        <v>168</v>
      </c>
      <c r="F23" s="170"/>
      <c r="G23" s="170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67"/>
    </row>
    <row r="24" spans="2:22" s="177" customFormat="1" ht="13.2">
      <c r="B24" s="175"/>
      <c r="C24" s="176"/>
      <c r="D24" s="175" t="s">
        <v>169</v>
      </c>
      <c r="E24" s="175" t="s">
        <v>170</v>
      </c>
      <c r="F24" s="175"/>
      <c r="G24" s="175"/>
      <c r="I24" s="202" t="s">
        <v>152</v>
      </c>
      <c r="J24" s="202" t="s">
        <v>152</v>
      </c>
      <c r="K24" s="202" t="s">
        <v>152</v>
      </c>
      <c r="L24" s="202">
        <v>0</v>
      </c>
      <c r="M24" s="202">
        <v>0</v>
      </c>
      <c r="N24" s="202">
        <v>0</v>
      </c>
      <c r="O24" s="304">
        <v>0</v>
      </c>
      <c r="P24" s="304">
        <v>0</v>
      </c>
      <c r="Q24" s="202">
        <v>0</v>
      </c>
      <c r="R24" s="202">
        <v>0</v>
      </c>
      <c r="S24" s="202">
        <v>0</v>
      </c>
      <c r="T24" s="202">
        <v>0</v>
      </c>
      <c r="U24" s="202">
        <v>0</v>
      </c>
      <c r="V24" s="178"/>
    </row>
    <row r="25" spans="2:22" s="177" customFormat="1" ht="13.2">
      <c r="B25" s="175"/>
      <c r="C25" s="176"/>
      <c r="D25" s="175"/>
      <c r="E25" s="175"/>
      <c r="F25" s="175"/>
      <c r="G25" s="175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178"/>
    </row>
    <row r="26" spans="2:22" s="177" customFormat="1" ht="13.2">
      <c r="B26" s="175"/>
      <c r="C26" s="176" t="s">
        <v>171</v>
      </c>
      <c r="D26" s="175"/>
      <c r="E26" s="175"/>
      <c r="F26" s="175"/>
      <c r="G26" s="175"/>
      <c r="I26" s="204">
        <v>0</v>
      </c>
      <c r="J26" s="204">
        <v>0</v>
      </c>
      <c r="K26" s="204">
        <v>0</v>
      </c>
      <c r="L26" s="204">
        <v>0</v>
      </c>
      <c r="M26" s="204">
        <v>0</v>
      </c>
      <c r="N26" s="204">
        <v>0</v>
      </c>
      <c r="O26" s="204">
        <v>0</v>
      </c>
      <c r="P26" s="204">
        <v>0</v>
      </c>
      <c r="Q26" s="204">
        <v>0</v>
      </c>
      <c r="R26" s="204">
        <v>0</v>
      </c>
      <c r="S26" s="204">
        <v>0</v>
      </c>
      <c r="T26" s="204">
        <v>0</v>
      </c>
      <c r="U26" s="204">
        <v>0</v>
      </c>
      <c r="V26" s="178" t="s">
        <v>172</v>
      </c>
    </row>
    <row r="27" spans="2:22" s="153" customFormat="1" ht="12.75" customHeight="1">
      <c r="B27" s="154"/>
      <c r="C27" s="155"/>
      <c r="D27" s="154"/>
      <c r="E27" s="154"/>
      <c r="F27" s="154"/>
      <c r="G27" s="154"/>
      <c r="I27" s="169" t="s">
        <v>152</v>
      </c>
      <c r="J27" s="169" t="s">
        <v>152</v>
      </c>
      <c r="K27" s="169" t="s">
        <v>152</v>
      </c>
      <c r="L27" s="169" t="s">
        <v>152</v>
      </c>
      <c r="M27" s="169" t="s">
        <v>152</v>
      </c>
      <c r="N27" s="169" t="s">
        <v>152</v>
      </c>
      <c r="O27" s="169" t="s">
        <v>152</v>
      </c>
      <c r="P27" s="169" t="s">
        <v>152</v>
      </c>
      <c r="Q27" s="169" t="s">
        <v>152</v>
      </c>
      <c r="R27" s="169" t="s">
        <v>152</v>
      </c>
      <c r="S27" s="169" t="s">
        <v>152</v>
      </c>
      <c r="T27" s="169" t="s">
        <v>152</v>
      </c>
      <c r="U27" s="169" t="s">
        <v>152</v>
      </c>
      <c r="V27" s="167"/>
    </row>
    <row r="28" spans="2:22" s="153" customFormat="1" ht="12.75" customHeight="1">
      <c r="B28" s="154"/>
      <c r="D28" s="154"/>
      <c r="E28" s="168" t="s">
        <v>173</v>
      </c>
      <c r="F28" s="168"/>
      <c r="G28" s="168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7"/>
    </row>
    <row r="29" spans="2:22" ht="12.75" customHeight="1">
      <c r="B29" s="16">
        <v>1</v>
      </c>
      <c r="C29" s="172"/>
      <c r="D29" s="173" t="s">
        <v>155</v>
      </c>
      <c r="E29" s="170" t="s">
        <v>156</v>
      </c>
      <c r="F29" s="170"/>
      <c r="G29" s="170"/>
      <c r="H29" s="16">
        <v>0</v>
      </c>
      <c r="I29" s="179">
        <f>IF(I11&lt;&gt;0,I11,H29*SUM(1,I$24))</f>
        <v>242.5</v>
      </c>
      <c r="J29" s="179">
        <f t="shared" ref="J29:U29" si="2">IF(J11&lt;&gt;0,J11,I29*SUM(1,J$24))</f>
        <v>249.5</v>
      </c>
      <c r="K29" s="179">
        <f t="shared" si="2"/>
        <v>255.7</v>
      </c>
      <c r="L29" s="179">
        <f t="shared" si="2"/>
        <v>258</v>
      </c>
      <c r="M29" s="179">
        <f t="shared" si="2"/>
        <v>261.39999999999998</v>
      </c>
      <c r="N29" s="179">
        <f t="shared" si="2"/>
        <v>270.60000000000002</v>
      </c>
      <c r="O29" s="179">
        <f t="shared" si="2"/>
        <v>279.7</v>
      </c>
      <c r="P29" s="179">
        <f t="shared" si="2"/>
        <v>288.09100000000001</v>
      </c>
      <c r="Q29" s="179">
        <f t="shared" si="2"/>
        <v>296.84050565812504</v>
      </c>
      <c r="R29" s="179">
        <f t="shared" si="2"/>
        <v>306.04256133352692</v>
      </c>
      <c r="S29" s="179">
        <f t="shared" si="2"/>
        <v>315.22383817353273</v>
      </c>
      <c r="T29" s="179">
        <f t="shared" si="2"/>
        <v>324.6805533187387</v>
      </c>
      <c r="U29" s="179">
        <f t="shared" si="2"/>
        <v>334.4209699183009</v>
      </c>
    </row>
    <row r="30" spans="2:22" ht="12.75" customHeight="1">
      <c r="B30" s="16">
        <v>2</v>
      </c>
      <c r="C30" s="172"/>
      <c r="D30" s="173" t="s">
        <v>155</v>
      </c>
      <c r="E30" s="170" t="s">
        <v>157</v>
      </c>
      <c r="F30" s="170"/>
      <c r="G30" s="170"/>
      <c r="H30" s="16">
        <v>0</v>
      </c>
      <c r="I30" s="179">
        <f t="shared" ref="I30:U40" si="3">IF(I12&lt;&gt;0,I12,H30*SUM(1,I$24))</f>
        <v>242.4</v>
      </c>
      <c r="J30" s="179">
        <f t="shared" si="3"/>
        <v>250</v>
      </c>
      <c r="K30" s="179">
        <f t="shared" si="3"/>
        <v>255.9</v>
      </c>
      <c r="L30" s="179">
        <f t="shared" si="3"/>
        <v>258.5</v>
      </c>
      <c r="M30" s="179">
        <f t="shared" si="3"/>
        <v>262.10000000000002</v>
      </c>
      <c r="N30" s="179">
        <f t="shared" si="3"/>
        <v>271.7</v>
      </c>
      <c r="O30" s="179">
        <f t="shared" si="3"/>
        <v>280.7</v>
      </c>
      <c r="P30" s="179">
        <f t="shared" si="3"/>
        <v>289.12099999999998</v>
      </c>
      <c r="Q30" s="179">
        <f t="shared" si="3"/>
        <v>298.04717438031253</v>
      </c>
      <c r="R30" s="179">
        <f t="shared" si="3"/>
        <v>307.28663678610218</v>
      </c>
      <c r="S30" s="179">
        <f t="shared" si="3"/>
        <v>316.50523588968525</v>
      </c>
      <c r="T30" s="179">
        <f t="shared" si="3"/>
        <v>326.00039296637584</v>
      </c>
      <c r="U30" s="179">
        <f t="shared" si="3"/>
        <v>335.7804047553671</v>
      </c>
    </row>
    <row r="31" spans="2:22" ht="12.75" customHeight="1">
      <c r="B31" s="16">
        <v>3</v>
      </c>
      <c r="C31" s="172"/>
      <c r="D31" s="173" t="s">
        <v>155</v>
      </c>
      <c r="E31" s="170" t="s">
        <v>158</v>
      </c>
      <c r="F31" s="170"/>
      <c r="G31" s="170"/>
      <c r="H31" s="16">
        <v>0</v>
      </c>
      <c r="I31" s="179">
        <f t="shared" si="3"/>
        <v>241.8</v>
      </c>
      <c r="J31" s="179">
        <f t="shared" si="3"/>
        <v>249.7</v>
      </c>
      <c r="K31" s="179">
        <f t="shared" si="3"/>
        <v>256.3</v>
      </c>
      <c r="L31" s="179">
        <f t="shared" si="3"/>
        <v>258.89999999999998</v>
      </c>
      <c r="M31" s="179">
        <f t="shared" si="3"/>
        <v>263.10000000000002</v>
      </c>
      <c r="N31" s="179">
        <f t="shared" si="3"/>
        <v>272.3</v>
      </c>
      <c r="O31" s="179">
        <f t="shared" si="3"/>
        <v>281.5</v>
      </c>
      <c r="P31" s="179">
        <f t="shared" si="3"/>
        <v>289.94499999999999</v>
      </c>
      <c r="Q31" s="179">
        <f t="shared" si="3"/>
        <v>298.70535731968755</v>
      </c>
      <c r="R31" s="179">
        <f t="shared" si="3"/>
        <v>307.96522339659782</v>
      </c>
      <c r="S31" s="179">
        <f t="shared" si="3"/>
        <v>317.20418009849578</v>
      </c>
      <c r="T31" s="179">
        <f t="shared" si="3"/>
        <v>326.72030550145064</v>
      </c>
      <c r="U31" s="179">
        <f t="shared" si="3"/>
        <v>336.52191466649418</v>
      </c>
    </row>
    <row r="32" spans="2:22" ht="12.75" customHeight="1">
      <c r="B32" s="16">
        <v>4</v>
      </c>
      <c r="C32" s="172"/>
      <c r="D32" s="173" t="s">
        <v>155</v>
      </c>
      <c r="E32" s="170" t="s">
        <v>159</v>
      </c>
      <c r="F32" s="170"/>
      <c r="G32" s="170"/>
      <c r="H32" s="16">
        <v>0</v>
      </c>
      <c r="I32" s="179">
        <f t="shared" si="3"/>
        <v>242.1</v>
      </c>
      <c r="J32" s="179">
        <f t="shared" si="3"/>
        <v>249.7</v>
      </c>
      <c r="K32" s="179">
        <f t="shared" si="3"/>
        <v>256</v>
      </c>
      <c r="L32" s="179">
        <f t="shared" si="3"/>
        <v>258.60000000000002</v>
      </c>
      <c r="M32" s="179">
        <f t="shared" si="3"/>
        <v>263.39999999999998</v>
      </c>
      <c r="N32" s="179">
        <f t="shared" si="3"/>
        <v>272.89999999999998</v>
      </c>
      <c r="O32" s="179">
        <f t="shared" si="3"/>
        <v>281.7</v>
      </c>
      <c r="P32" s="179">
        <f t="shared" si="3"/>
        <v>290.15100000000001</v>
      </c>
      <c r="Q32" s="179">
        <f t="shared" si="3"/>
        <v>299.36354025906252</v>
      </c>
      <c r="R32" s="179">
        <f t="shared" si="3"/>
        <v>308.64381000709341</v>
      </c>
      <c r="S32" s="179">
        <f t="shared" si="3"/>
        <v>317.9031243073062</v>
      </c>
      <c r="T32" s="179">
        <f t="shared" si="3"/>
        <v>327.44021803652538</v>
      </c>
      <c r="U32" s="179">
        <f t="shared" si="3"/>
        <v>337.26342457762115</v>
      </c>
    </row>
    <row r="33" spans="2:22" ht="12.75" customHeight="1">
      <c r="B33" s="16">
        <v>5</v>
      </c>
      <c r="C33" s="172"/>
      <c r="D33" s="173" t="s">
        <v>155</v>
      </c>
      <c r="E33" s="170" t="s">
        <v>160</v>
      </c>
      <c r="F33" s="170"/>
      <c r="G33" s="170"/>
      <c r="H33" s="16">
        <v>0</v>
      </c>
      <c r="I33" s="179">
        <f t="shared" si="3"/>
        <v>243</v>
      </c>
      <c r="J33" s="179">
        <f t="shared" si="3"/>
        <v>251</v>
      </c>
      <c r="K33" s="179">
        <f t="shared" si="3"/>
        <v>257</v>
      </c>
      <c r="L33" s="179">
        <f t="shared" si="3"/>
        <v>259.8</v>
      </c>
      <c r="M33" s="179">
        <f t="shared" si="3"/>
        <v>264.39999999999998</v>
      </c>
      <c r="N33" s="179">
        <f t="shared" si="3"/>
        <v>274.7</v>
      </c>
      <c r="O33" s="179">
        <f t="shared" si="3"/>
        <v>284.2</v>
      </c>
      <c r="P33" s="179">
        <f t="shared" si="3"/>
        <v>292.726</v>
      </c>
      <c r="Q33" s="179">
        <f t="shared" si="3"/>
        <v>301.33808907718748</v>
      </c>
      <c r="R33" s="179">
        <f t="shared" si="3"/>
        <v>310.67956983858028</v>
      </c>
      <c r="S33" s="179">
        <f t="shared" si="3"/>
        <v>319.99995693373768</v>
      </c>
      <c r="T33" s="179">
        <f t="shared" si="3"/>
        <v>329.59995564174983</v>
      </c>
      <c r="U33" s="179">
        <f t="shared" si="3"/>
        <v>339.48795431100234</v>
      </c>
    </row>
    <row r="34" spans="2:22" ht="12.75" customHeight="1">
      <c r="B34" s="16">
        <v>6</v>
      </c>
      <c r="C34" s="172"/>
      <c r="D34" s="173" t="s">
        <v>155</v>
      </c>
      <c r="E34" s="170" t="s">
        <v>161</v>
      </c>
      <c r="F34" s="170"/>
      <c r="G34" s="170"/>
      <c r="H34" s="16">
        <v>0</v>
      </c>
      <c r="I34" s="179">
        <f t="shared" si="3"/>
        <v>244.2</v>
      </c>
      <c r="J34" s="179">
        <f t="shared" si="3"/>
        <v>251.9</v>
      </c>
      <c r="K34" s="179">
        <f t="shared" si="3"/>
        <v>257.60000000000002</v>
      </c>
      <c r="L34" s="179">
        <f t="shared" si="3"/>
        <v>259.60000000000002</v>
      </c>
      <c r="M34" s="179">
        <f t="shared" si="3"/>
        <v>264.89999999999998</v>
      </c>
      <c r="N34" s="179">
        <f t="shared" si="3"/>
        <v>275.10000000000002</v>
      </c>
      <c r="O34" s="179">
        <f t="shared" si="3"/>
        <v>284.10000000000002</v>
      </c>
      <c r="P34" s="179">
        <f t="shared" si="3"/>
        <v>292.62300000000005</v>
      </c>
      <c r="Q34" s="179">
        <f t="shared" si="3"/>
        <v>301.77687770343755</v>
      </c>
      <c r="R34" s="179">
        <f t="shared" si="3"/>
        <v>311.1319609122441</v>
      </c>
      <c r="S34" s="179">
        <f t="shared" si="3"/>
        <v>320.46591973961142</v>
      </c>
      <c r="T34" s="179">
        <f t="shared" si="3"/>
        <v>330.07989733179977</v>
      </c>
      <c r="U34" s="179">
        <f t="shared" si="3"/>
        <v>339.98229425175379</v>
      </c>
    </row>
    <row r="35" spans="2:22" ht="12.75" customHeight="1">
      <c r="B35" s="16">
        <v>7</v>
      </c>
      <c r="C35" s="172"/>
      <c r="D35" s="173" t="s">
        <v>155</v>
      </c>
      <c r="E35" s="170" t="s">
        <v>162</v>
      </c>
      <c r="F35" s="170"/>
      <c r="G35" s="170"/>
      <c r="H35" s="16">
        <v>0</v>
      </c>
      <c r="I35" s="179">
        <f t="shared" si="3"/>
        <v>245.6</v>
      </c>
      <c r="J35" s="179">
        <f t="shared" si="3"/>
        <v>251.9</v>
      </c>
      <c r="K35" s="179">
        <f t="shared" si="3"/>
        <v>257.7</v>
      </c>
      <c r="L35" s="179">
        <f t="shared" si="3"/>
        <v>259.5</v>
      </c>
      <c r="M35" s="179">
        <f t="shared" si="3"/>
        <v>264.8</v>
      </c>
      <c r="N35" s="179">
        <f t="shared" si="3"/>
        <v>275.3</v>
      </c>
      <c r="O35" s="179">
        <f t="shared" si="3"/>
        <v>284.5</v>
      </c>
      <c r="P35" s="179">
        <f t="shared" si="3"/>
        <v>293.03500000000003</v>
      </c>
      <c r="Q35" s="179">
        <f t="shared" si="3"/>
        <v>301.9962720165625</v>
      </c>
      <c r="R35" s="179">
        <f t="shared" si="3"/>
        <v>311.35815644907592</v>
      </c>
      <c r="S35" s="179">
        <f t="shared" si="3"/>
        <v>320.69890114254821</v>
      </c>
      <c r="T35" s="179">
        <f t="shared" si="3"/>
        <v>330.31986817682468</v>
      </c>
      <c r="U35" s="179">
        <f t="shared" si="3"/>
        <v>340.22946422212942</v>
      </c>
    </row>
    <row r="36" spans="2:22" ht="12.75" customHeight="1">
      <c r="B36" s="16">
        <v>8</v>
      </c>
      <c r="C36" s="172"/>
      <c r="D36" s="173" t="s">
        <v>155</v>
      </c>
      <c r="E36" s="170" t="s">
        <v>163</v>
      </c>
      <c r="F36" s="170"/>
      <c r="G36" s="170"/>
      <c r="H36" s="181">
        <f>H18</f>
        <v>238.5</v>
      </c>
      <c r="I36" s="179">
        <f t="shared" si="3"/>
        <v>245.6</v>
      </c>
      <c r="J36" s="179">
        <f t="shared" si="3"/>
        <v>252.1</v>
      </c>
      <c r="K36" s="179">
        <f t="shared" si="3"/>
        <v>257.10000000000002</v>
      </c>
      <c r="L36" s="179">
        <f t="shared" si="3"/>
        <v>259.8</v>
      </c>
      <c r="M36" s="179">
        <f t="shared" si="3"/>
        <v>265.5</v>
      </c>
      <c r="N36" s="179">
        <f t="shared" si="3"/>
        <v>275.8</v>
      </c>
      <c r="O36" s="179">
        <f t="shared" si="3"/>
        <v>284.60000000000002</v>
      </c>
      <c r="P36" s="179">
        <f t="shared" si="3"/>
        <v>293.13800000000003</v>
      </c>
      <c r="Q36" s="179">
        <f t="shared" si="3"/>
        <v>302.54475779937502</v>
      </c>
      <c r="R36" s="179">
        <f t="shared" si="3"/>
        <v>311.92364529115559</v>
      </c>
      <c r="S36" s="179">
        <f t="shared" si="3"/>
        <v>321.28135464989026</v>
      </c>
      <c r="T36" s="179">
        <f t="shared" si="3"/>
        <v>330.91979528938697</v>
      </c>
      <c r="U36" s="179">
        <f t="shared" si="3"/>
        <v>340.8473891480686</v>
      </c>
    </row>
    <row r="37" spans="2:22" ht="12.75" customHeight="1">
      <c r="B37" s="16">
        <v>9</v>
      </c>
      <c r="C37" s="172"/>
      <c r="D37" s="173" t="s">
        <v>155</v>
      </c>
      <c r="E37" s="170" t="s">
        <v>164</v>
      </c>
      <c r="F37" s="170"/>
      <c r="G37" s="170"/>
      <c r="H37" s="16">
        <v>0</v>
      </c>
      <c r="I37" s="179">
        <f t="shared" si="3"/>
        <v>246.8</v>
      </c>
      <c r="J37" s="179">
        <f t="shared" si="3"/>
        <v>253.4</v>
      </c>
      <c r="K37" s="179">
        <f t="shared" si="3"/>
        <v>257.5</v>
      </c>
      <c r="L37" s="179">
        <f t="shared" si="3"/>
        <v>260.60000000000002</v>
      </c>
      <c r="M37" s="179">
        <f t="shared" si="3"/>
        <v>267.10000000000002</v>
      </c>
      <c r="N37" s="179">
        <f t="shared" si="3"/>
        <v>278.10000000000002</v>
      </c>
      <c r="O37" s="179">
        <f t="shared" si="3"/>
        <v>285.60000000000002</v>
      </c>
      <c r="P37" s="179">
        <f t="shared" si="3"/>
        <v>294.16800000000001</v>
      </c>
      <c r="Q37" s="179">
        <f t="shared" si="3"/>
        <v>305.06779240031256</v>
      </c>
      <c r="R37" s="179">
        <f t="shared" si="3"/>
        <v>314.5248939647222</v>
      </c>
      <c r="S37" s="179">
        <f t="shared" si="3"/>
        <v>323.96064078366385</v>
      </c>
      <c r="T37" s="179">
        <f t="shared" si="3"/>
        <v>333.67946000717376</v>
      </c>
      <c r="U37" s="179">
        <f t="shared" si="3"/>
        <v>343.68984380738897</v>
      </c>
    </row>
    <row r="38" spans="2:22" ht="12.75" customHeight="1">
      <c r="B38" s="16">
        <v>10</v>
      </c>
      <c r="C38" s="172"/>
      <c r="D38" s="173" t="s">
        <v>155</v>
      </c>
      <c r="E38" s="170" t="s">
        <v>165</v>
      </c>
      <c r="F38" s="170"/>
      <c r="G38" s="170"/>
      <c r="H38" s="16">
        <v>0</v>
      </c>
      <c r="I38" s="179">
        <f t="shared" si="3"/>
        <v>245.8</v>
      </c>
      <c r="J38" s="179">
        <f t="shared" si="3"/>
        <v>252.6</v>
      </c>
      <c r="K38" s="179">
        <f t="shared" si="3"/>
        <v>255.4</v>
      </c>
      <c r="L38" s="179">
        <f t="shared" si="3"/>
        <v>258.8</v>
      </c>
      <c r="M38" s="179">
        <f t="shared" si="3"/>
        <v>265.5</v>
      </c>
      <c r="N38" s="179">
        <f t="shared" si="3"/>
        <v>276</v>
      </c>
      <c r="O38" s="179">
        <f t="shared" si="3"/>
        <v>283</v>
      </c>
      <c r="P38" s="179">
        <f t="shared" si="3"/>
        <v>291.49</v>
      </c>
      <c r="Q38" s="179">
        <f t="shared" si="3"/>
        <v>302.76415211250008</v>
      </c>
      <c r="R38" s="179">
        <f t="shared" si="3"/>
        <v>312.14984082798759</v>
      </c>
      <c r="S38" s="179">
        <f t="shared" si="3"/>
        <v>321.51433605282722</v>
      </c>
      <c r="T38" s="179">
        <f t="shared" si="3"/>
        <v>331.15976613441205</v>
      </c>
      <c r="U38" s="179">
        <f t="shared" si="3"/>
        <v>341.09455911844441</v>
      </c>
    </row>
    <row r="39" spans="2:22" ht="12.75" customHeight="1">
      <c r="B39" s="16">
        <v>11</v>
      </c>
      <c r="C39" s="172"/>
      <c r="D39" s="173" t="s">
        <v>155</v>
      </c>
      <c r="E39" s="170" t="s">
        <v>166</v>
      </c>
      <c r="F39" s="170"/>
      <c r="G39" s="170"/>
      <c r="H39" s="16">
        <v>0</v>
      </c>
      <c r="I39" s="179">
        <f t="shared" si="3"/>
        <v>247.6</v>
      </c>
      <c r="J39" s="179">
        <f t="shared" si="3"/>
        <v>254.2</v>
      </c>
      <c r="K39" s="179">
        <f t="shared" si="3"/>
        <v>256.7</v>
      </c>
      <c r="L39" s="179">
        <f t="shared" si="3"/>
        <v>260</v>
      </c>
      <c r="M39" s="179">
        <f t="shared" si="3"/>
        <v>268.39999999999998</v>
      </c>
      <c r="N39" s="179">
        <f t="shared" si="3"/>
        <v>278.10000000000002</v>
      </c>
      <c r="O39" s="179">
        <f t="shared" si="3"/>
        <v>285</v>
      </c>
      <c r="P39" s="179">
        <f t="shared" si="3"/>
        <v>293.55</v>
      </c>
      <c r="Q39" s="179">
        <f t="shared" si="3"/>
        <v>305.06779240031256</v>
      </c>
      <c r="R39" s="179">
        <f t="shared" si="3"/>
        <v>314.5248939647222</v>
      </c>
      <c r="S39" s="179">
        <f t="shared" si="3"/>
        <v>323.96064078366385</v>
      </c>
      <c r="T39" s="179">
        <f t="shared" si="3"/>
        <v>333.67946000717376</v>
      </c>
      <c r="U39" s="179">
        <f t="shared" si="3"/>
        <v>343.68984380738897</v>
      </c>
    </row>
    <row r="40" spans="2:22" ht="12.75" customHeight="1">
      <c r="B40" s="16">
        <v>12</v>
      </c>
      <c r="C40" s="172"/>
      <c r="D40" s="173" t="s">
        <v>155</v>
      </c>
      <c r="E40" s="170" t="s">
        <v>167</v>
      </c>
      <c r="F40" s="170"/>
      <c r="G40" s="170"/>
      <c r="H40" s="16">
        <v>0</v>
      </c>
      <c r="I40" s="179">
        <f t="shared" si="3"/>
        <v>248.7</v>
      </c>
      <c r="J40" s="179">
        <f t="shared" si="3"/>
        <v>254.8</v>
      </c>
      <c r="K40" s="179">
        <f t="shared" si="3"/>
        <v>257.10000000000002</v>
      </c>
      <c r="L40" s="179">
        <f t="shared" si="3"/>
        <v>261.10000000000002</v>
      </c>
      <c r="M40" s="179">
        <f t="shared" si="3"/>
        <v>269.3</v>
      </c>
      <c r="N40" s="179">
        <f t="shared" si="3"/>
        <v>278.3</v>
      </c>
      <c r="O40" s="179">
        <f t="shared" si="3"/>
        <v>285.10000000000002</v>
      </c>
      <c r="P40" s="179">
        <f t="shared" si="3"/>
        <v>293.65300000000002</v>
      </c>
      <c r="Q40" s="179">
        <f t="shared" si="3"/>
        <v>305.28718671343756</v>
      </c>
      <c r="R40" s="179">
        <f t="shared" si="3"/>
        <v>314.75108950155408</v>
      </c>
      <c r="S40" s="179">
        <f t="shared" si="3"/>
        <v>324.19362218660069</v>
      </c>
      <c r="T40" s="179">
        <f t="shared" si="3"/>
        <v>333.91943085219873</v>
      </c>
      <c r="U40" s="179">
        <f t="shared" si="3"/>
        <v>343.93701377776472</v>
      </c>
    </row>
    <row r="41" spans="2:22" ht="12.75" customHeight="1">
      <c r="B41" s="172"/>
      <c r="C41" s="172"/>
      <c r="D41" s="173" t="s">
        <v>155</v>
      </c>
      <c r="E41" s="170" t="s">
        <v>168</v>
      </c>
      <c r="F41" s="170"/>
      <c r="G41" s="170"/>
      <c r="I41" s="182">
        <f>IF(SUM(I29:I40)=0,0,AVERAGE(I29:I40))</f>
        <v>244.67499999999998</v>
      </c>
      <c r="J41" s="182">
        <f t="shared" ref="J41:U41" si="4">IF(SUM(J29:J40)=0,0,AVERAGE(J29:J40))</f>
        <v>251.73333333333335</v>
      </c>
      <c r="K41" s="182">
        <f t="shared" si="4"/>
        <v>256.66666666666669</v>
      </c>
      <c r="L41" s="182">
        <f t="shared" si="4"/>
        <v>259.43333333333334</v>
      </c>
      <c r="M41" s="182">
        <f t="shared" si="4"/>
        <v>264.99166666666673</v>
      </c>
      <c r="N41" s="182">
        <f t="shared" si="4"/>
        <v>274.90833333333336</v>
      </c>
      <c r="O41" s="182">
        <f t="shared" si="4"/>
        <v>283.30833333333334</v>
      </c>
      <c r="P41" s="182">
        <f t="shared" si="4"/>
        <v>291.80758333333341</v>
      </c>
      <c r="Q41" s="182">
        <f t="shared" si="4"/>
        <v>301.56662482002611</v>
      </c>
      <c r="R41" s="182">
        <f t="shared" si="4"/>
        <v>310.91519018944683</v>
      </c>
      <c r="S41" s="182">
        <f t="shared" si="4"/>
        <v>320.24264589513018</v>
      </c>
      <c r="T41" s="182">
        <f t="shared" si="4"/>
        <v>329.8499252719842</v>
      </c>
      <c r="U41" s="182">
        <f t="shared" si="4"/>
        <v>339.74542303014374</v>
      </c>
    </row>
    <row r="42" spans="2:22" s="153" customFormat="1" ht="12.75" customHeight="1">
      <c r="B42" s="154"/>
      <c r="V42" s="167"/>
    </row>
    <row r="43" spans="2:22" s="153" customFormat="1" ht="12.75" customHeight="1">
      <c r="B43" s="154"/>
      <c r="E43" s="183" t="s">
        <v>174</v>
      </c>
      <c r="F43" s="183"/>
      <c r="G43" s="183"/>
      <c r="V43" s="167"/>
    </row>
    <row r="44" spans="2:22" s="153" customFormat="1" ht="12.75" customHeight="1">
      <c r="B44" s="154"/>
      <c r="E44" s="184" t="s">
        <v>175</v>
      </c>
      <c r="F44" s="184"/>
      <c r="G44" s="184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67" t="s">
        <v>176</v>
      </c>
    </row>
    <row r="45" spans="2:22" s="153" customFormat="1" ht="12.75" customHeight="1">
      <c r="B45" s="154"/>
      <c r="C45" s="186"/>
      <c r="D45" s="175" t="s">
        <v>169</v>
      </c>
      <c r="E45" s="187" t="s">
        <v>177</v>
      </c>
      <c r="F45" s="187"/>
      <c r="G45" s="187"/>
      <c r="I45" s="254">
        <f t="shared" ref="I45:U45" si="5">IF(Indexation.November.Override&lt;&gt;"",Indexation.November.Override,IF($H$36=0,0,H36/$H$36))</f>
        <v>1</v>
      </c>
      <c r="J45" s="254">
        <f t="shared" si="5"/>
        <v>1.0297693920335429</v>
      </c>
      <c r="K45" s="254">
        <f t="shared" si="5"/>
        <v>1.0570230607966458</v>
      </c>
      <c r="L45" s="254">
        <f t="shared" si="5"/>
        <v>1.077987421383648</v>
      </c>
      <c r="M45" s="254">
        <f t="shared" si="5"/>
        <v>1.0893081761006289</v>
      </c>
      <c r="N45" s="254">
        <f>IF(Indexation.November.Override&lt;&gt;"",Indexation.November.Override,IF($H$36=0,0,M36/$H$36))</f>
        <v>1.1132075471698113</v>
      </c>
      <c r="O45" s="254">
        <f t="shared" si="5"/>
        <v>1.1563941299790357</v>
      </c>
      <c r="P45" s="254">
        <f t="shared" si="5"/>
        <v>1.1932914046121594</v>
      </c>
      <c r="Q45" s="254">
        <f t="shared" si="5"/>
        <v>1.2290901467505242</v>
      </c>
      <c r="R45" s="254">
        <f t="shared" si="5"/>
        <v>1.2685314792426625</v>
      </c>
      <c r="S45" s="254">
        <f t="shared" si="5"/>
        <v>1.3078559550991848</v>
      </c>
      <c r="T45" s="254">
        <f t="shared" si="5"/>
        <v>1.3470916337521603</v>
      </c>
      <c r="U45" s="254">
        <f t="shared" si="5"/>
        <v>1.3875043827647253</v>
      </c>
      <c r="V45" s="167" t="s">
        <v>178</v>
      </c>
    </row>
    <row r="46" spans="2:22" s="153" customFormat="1" ht="12.75" customHeight="1">
      <c r="B46" s="154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</row>
    <row r="47" spans="2:22" s="153" customFormat="1" ht="12.75" customHeight="1">
      <c r="B47" s="154"/>
      <c r="E47" s="189" t="s">
        <v>179</v>
      </c>
      <c r="F47" s="189"/>
      <c r="G47" s="189"/>
    </row>
    <row r="48" spans="2:22" s="153" customFormat="1" ht="12.75" customHeight="1">
      <c r="B48" s="154"/>
      <c r="E48" s="184" t="s">
        <v>175</v>
      </c>
      <c r="F48" s="184"/>
      <c r="G48" s="184"/>
      <c r="I48" s="185"/>
      <c r="J48" s="185"/>
      <c r="K48" s="185"/>
      <c r="L48" s="185"/>
      <c r="M48" s="185"/>
      <c r="N48" s="185"/>
      <c r="O48" s="306"/>
      <c r="P48" s="185"/>
      <c r="Q48" s="185"/>
      <c r="R48" s="185"/>
      <c r="S48" s="185"/>
      <c r="T48" s="185"/>
      <c r="U48" s="185"/>
      <c r="V48" s="167" t="s">
        <v>180</v>
      </c>
    </row>
    <row r="49" spans="1:22" s="153" customFormat="1" ht="12.75" customHeight="1">
      <c r="B49" s="154"/>
      <c r="C49" s="186"/>
      <c r="D49" s="175" t="s">
        <v>169</v>
      </c>
      <c r="E49" s="187" t="s">
        <v>177</v>
      </c>
      <c r="F49" s="187"/>
      <c r="G49" s="187"/>
      <c r="I49" s="254">
        <f t="shared" ref="I49:U49" si="6">IF(Indexation.Average.Override&lt;&gt;"",Indexation.Average.Override,IF($I41=0,0,I41/$I41))</f>
        <v>1</v>
      </c>
      <c r="J49" s="254">
        <f t="shared" si="6"/>
        <v>1.0288477912877627</v>
      </c>
      <c r="K49" s="254">
        <f t="shared" si="6"/>
        <v>1.0490105922822794</v>
      </c>
      <c r="L49" s="254">
        <f t="shared" si="6"/>
        <v>1.0603181090562313</v>
      </c>
      <c r="M49" s="254">
        <f t="shared" si="6"/>
        <v>1.0830353189605262</v>
      </c>
      <c r="N49" s="254">
        <f>IF(Indexation.Average.Override&lt;&gt;"",Indexation.Average.Override,IF($I41=0,0,N41/$I41))</f>
        <v>1.1235652736623414</v>
      </c>
      <c r="O49" s="254">
        <f t="shared" si="6"/>
        <v>1.1578965294097614</v>
      </c>
      <c r="P49" s="254">
        <f t="shared" si="6"/>
        <v>1.1926334252920545</v>
      </c>
      <c r="Q49" s="254">
        <f t="shared" si="6"/>
        <v>1.2325191573312604</v>
      </c>
      <c r="R49" s="254">
        <f t="shared" si="6"/>
        <v>1.270727251208529</v>
      </c>
      <c r="S49" s="254">
        <f t="shared" si="6"/>
        <v>1.3088490687447847</v>
      </c>
      <c r="T49" s="254">
        <f t="shared" si="6"/>
        <v>1.3481145408071287</v>
      </c>
      <c r="U49" s="254">
        <f t="shared" si="6"/>
        <v>1.3885579770313428</v>
      </c>
      <c r="V49" s="167" t="s">
        <v>181</v>
      </c>
    </row>
    <row r="50" spans="1:22" s="153" customFormat="1" ht="12.75" customHeight="1">
      <c r="B50" s="154"/>
      <c r="C50" s="186"/>
      <c r="D50" s="175"/>
      <c r="E50" s="187"/>
      <c r="F50" s="187"/>
      <c r="G50" s="187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67"/>
    </row>
    <row r="51" spans="1:22" s="153" customFormat="1" ht="12.75" customHeight="1">
      <c r="B51" s="154"/>
      <c r="C51" s="190"/>
      <c r="D51" s="175" t="s">
        <v>169</v>
      </c>
      <c r="E51" s="191" t="s">
        <v>182</v>
      </c>
      <c r="F51" s="191"/>
      <c r="G51" s="191"/>
      <c r="I51" s="188"/>
      <c r="J51" s="188">
        <f>IF(I49=0,0,(J49/I49)-1)</f>
        <v>2.8847791287762714E-2</v>
      </c>
      <c r="K51" s="188">
        <f t="shared" ref="K51:U51" si="7">IF(J49=0,0,(K49/J49)-1)</f>
        <v>1.9597457627118731E-2</v>
      </c>
      <c r="L51" s="188">
        <f>IF(K49=0,0,(L49/K49)-1)</f>
        <v>1.0779220779220777E-2</v>
      </c>
      <c r="M51" s="188">
        <f>IF(L49=0,0,(M49/L49)-1)</f>
        <v>2.1424900424001248E-2</v>
      </c>
      <c r="N51" s="188">
        <f t="shared" si="7"/>
        <v>3.7422560457875953E-2</v>
      </c>
      <c r="O51" s="305">
        <f>IF(N49=0,0,(O49/N49)-1)</f>
        <v>3.0555639758707454E-2</v>
      </c>
      <c r="P51" s="305">
        <f t="shared" si="7"/>
        <v>3.0000000000000249E-2</v>
      </c>
      <c r="Q51" s="188">
        <f t="shared" si="7"/>
        <v>3.3443412865473476E-2</v>
      </c>
      <c r="R51" s="188">
        <f t="shared" si="7"/>
        <v>3.0999999999999694E-2</v>
      </c>
      <c r="S51" s="188">
        <f t="shared" si="7"/>
        <v>2.9999999999999805E-2</v>
      </c>
      <c r="T51" s="188">
        <f t="shared" si="7"/>
        <v>3.0000000000000249E-2</v>
      </c>
      <c r="U51" s="188">
        <f t="shared" si="7"/>
        <v>3.0000000000000249E-2</v>
      </c>
      <c r="V51" s="167" t="s">
        <v>183</v>
      </c>
    </row>
    <row r="52" spans="1:22" ht="12.75" customHeight="1">
      <c r="E52" s="21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</row>
    <row r="53" spans="1:22" ht="12.75" customHeight="1" thickBot="1"/>
    <row r="54" spans="1:22" ht="12.75" customHeight="1" thickBot="1">
      <c r="A54" s="192" t="s">
        <v>133</v>
      </c>
      <c r="B54" s="205"/>
      <c r="C54" s="205"/>
      <c r="D54" s="205"/>
      <c r="E54" s="206"/>
      <c r="F54" s="206"/>
      <c r="G54" s="206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193"/>
    </row>
    <row r="55" spans="1:22" ht="12.75" customHeight="1"/>
    <row r="56" spans="1:22" ht="12.75" hidden="1" customHeight="1"/>
    <row r="57" spans="1:22" ht="12.75" hidden="1" customHeight="1"/>
    <row r="58" spans="1:22" ht="12.75" hidden="1" customHeight="1"/>
    <row r="59" spans="1:22" ht="12.75" hidden="1" customHeight="1"/>
  </sheetData>
  <dataConsolidate/>
  <conditionalFormatting sqref="I26:U26">
    <cfRule type="cellIs" dxfId="1" priority="1" stopIfTrue="1" operator="equal">
      <formula>0</formula>
    </cfRule>
    <cfRule type="cellIs" dxfId="0" priority="2" stopIfTrue="1" operator="notEqual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49" fitToHeight="0" orientation="landscape" r:id="rId1"/>
  <headerFooter alignWithMargins="0">
    <oddHeader>&amp;L&amp;F&amp;C&amp;A&amp;R&amp;D &amp;T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V11"/>
  <sheetViews>
    <sheetView showGridLines="0" zoomScale="80" zoomScaleNormal="80" workbookViewId="0">
      <pane xSplit="8" ySplit="7" topLeftCell="I8" activePane="bottomRight" state="frozen"/>
      <selection activeCell="M121" sqref="M121"/>
      <selection pane="topRight" activeCell="M121" sqref="M121"/>
      <selection pane="bottomLeft" activeCell="M121" sqref="M121"/>
      <selection pane="bottomRight" activeCell="I8" sqref="I8"/>
    </sheetView>
  </sheetViews>
  <sheetFormatPr defaultColWidth="0" defaultRowHeight="0" customHeight="1" zeroHeight="1"/>
  <cols>
    <col min="1" max="3" width="2.6640625" style="7" customWidth="1"/>
    <col min="4" max="4" width="9.6640625" style="7" customWidth="1"/>
    <col min="5" max="5" width="29.33203125" style="7" customWidth="1"/>
    <col min="6" max="6" width="4.109375" style="7" customWidth="1"/>
    <col min="7" max="7" width="11.5546875" style="7" customWidth="1"/>
    <col min="8" max="8" width="4.109375" style="7" customWidth="1"/>
    <col min="9" max="21" width="9.6640625" style="7" customWidth="1"/>
    <col min="22" max="22" width="15.88671875" style="7" bestFit="1" customWidth="1"/>
    <col min="23" max="16384" width="9.109375" style="7" hidden="1"/>
  </cols>
  <sheetData>
    <row r="1" spans="1:22" ht="33">
      <c r="A1" s="133"/>
      <c r="B1" s="133"/>
      <c r="C1" s="133"/>
      <c r="D1" s="1" t="s">
        <v>190</v>
      </c>
      <c r="E1" s="1"/>
      <c r="F1" s="1"/>
      <c r="G1" s="1"/>
      <c r="H1" s="1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2" ht="13.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O2" s="2"/>
      <c r="P2" s="2"/>
      <c r="Q2" s="2"/>
      <c r="R2" s="2"/>
      <c r="S2" s="2"/>
      <c r="T2" s="2"/>
      <c r="U2" s="2"/>
    </row>
    <row r="3" spans="1:22" ht="13.2">
      <c r="E3" s="7" t="s">
        <v>1</v>
      </c>
      <c r="I3" s="134" t="s">
        <v>134</v>
      </c>
      <c r="J3" s="134" t="s">
        <v>135</v>
      </c>
      <c r="K3" s="134" t="s">
        <v>136</v>
      </c>
      <c r="L3" s="10" t="s">
        <v>137</v>
      </c>
      <c r="M3" s="10" t="s">
        <v>138</v>
      </c>
      <c r="N3" s="10" t="s">
        <v>139</v>
      </c>
      <c r="O3" s="10" t="s">
        <v>140</v>
      </c>
      <c r="P3" s="10" t="s">
        <v>141</v>
      </c>
      <c r="Q3" s="134" t="s">
        <v>142</v>
      </c>
      <c r="R3" s="134" t="s">
        <v>143</v>
      </c>
      <c r="S3" s="134" t="s">
        <v>144</v>
      </c>
      <c r="T3" s="134" t="s">
        <v>145</v>
      </c>
      <c r="U3" s="134" t="s">
        <v>146</v>
      </c>
      <c r="V3" s="135" t="s">
        <v>147</v>
      </c>
    </row>
    <row r="4" spans="1:22" ht="13.2">
      <c r="V4" s="135"/>
    </row>
    <row r="5" spans="1:22" ht="13.2">
      <c r="E5" s="7" t="s">
        <v>2</v>
      </c>
      <c r="I5" s="136">
        <v>2012</v>
      </c>
      <c r="J5" s="136">
        <v>2013</v>
      </c>
      <c r="K5" s="136">
        <v>2014</v>
      </c>
      <c r="L5" s="136">
        <v>2015</v>
      </c>
      <c r="M5" s="136">
        <v>2016</v>
      </c>
      <c r="N5" s="136">
        <v>2017</v>
      </c>
      <c r="O5" s="136">
        <v>2018</v>
      </c>
      <c r="P5" s="136">
        <v>2019</v>
      </c>
      <c r="Q5" s="136">
        <v>2020</v>
      </c>
      <c r="R5" s="136">
        <v>2021</v>
      </c>
      <c r="S5" s="136">
        <v>2022</v>
      </c>
      <c r="T5" s="136">
        <v>2023</v>
      </c>
      <c r="U5" s="136">
        <v>2024</v>
      </c>
      <c r="V5" s="135" t="s">
        <v>148</v>
      </c>
    </row>
    <row r="6" spans="1:22" ht="13.2">
      <c r="E6" s="7" t="s">
        <v>3</v>
      </c>
      <c r="K6" s="137"/>
      <c r="L6" s="138">
        <v>1</v>
      </c>
      <c r="M6" s="138">
        <v>2</v>
      </c>
      <c r="N6" s="138">
        <v>3</v>
      </c>
      <c r="O6" s="138">
        <v>4</v>
      </c>
      <c r="P6" s="138">
        <v>5</v>
      </c>
      <c r="Q6" s="138">
        <v>6</v>
      </c>
      <c r="R6" s="138">
        <v>7</v>
      </c>
      <c r="S6" s="138">
        <v>8</v>
      </c>
      <c r="T6" s="138">
        <v>9</v>
      </c>
      <c r="U6" s="138">
        <v>10</v>
      </c>
    </row>
    <row r="7" spans="1:22" ht="13.2"/>
    <row r="8" spans="1:22" ht="13.8" thickBot="1"/>
    <row r="9" spans="1:22" ht="13.8" thickBot="1">
      <c r="A9" s="143" t="s">
        <v>133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</row>
    <row r="10" spans="1:22" ht="13.2"/>
    <row r="11" spans="1:22" ht="13.2" hidden="1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7D5039921C4D4BA35B6AB656E9FEF9" ma:contentTypeVersion="0" ma:contentTypeDescription="Create a new document." ma:contentTypeScope="" ma:versionID="d2bdd8f2fee3496909988601d964e87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B9B419-7E1D-4FED-8BCA-10DB8106BB81}"/>
</file>

<file path=customXml/itemProps2.xml><?xml version="1.0" encoding="utf-8"?>
<ds:datastoreItem xmlns:ds="http://schemas.openxmlformats.org/officeDocument/2006/customXml" ds:itemID="{FD790EA7-CFB5-4CF9-90E9-4CAF28D83C84}"/>
</file>

<file path=customXml/itemProps3.xml><?xml version="1.0" encoding="utf-8"?>
<ds:datastoreItem xmlns:ds="http://schemas.openxmlformats.org/officeDocument/2006/customXml" ds:itemID="{FDBA8472-D5BC-4398-B5DA-6C8794662B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94</vt:i4>
      </vt:variant>
    </vt:vector>
  </HeadingPairs>
  <TitlesOfParts>
    <vt:vector size="99" baseType="lpstr">
      <vt:lpstr>Inputs</vt:lpstr>
      <vt:lpstr>Calcs</vt:lpstr>
      <vt:lpstr>Totex menu adjustments</vt:lpstr>
      <vt:lpstr>RPI</vt:lpstr>
      <vt:lpstr>Timeline</vt:lpstr>
      <vt:lpstr>Actual.Exclusions.Sewerage</vt:lpstr>
      <vt:lpstr>Actual.Exclusions.Water</vt:lpstr>
      <vt:lpstr>Actual.PDRC.Sewerage</vt:lpstr>
      <vt:lpstr>Actual.PDRC.Water</vt:lpstr>
      <vt:lpstr>Actual.Totex.Sewerage</vt:lpstr>
      <vt:lpstr>Actual.Totex.Water</vt:lpstr>
      <vt:lpstr>Add.Income.1stOrder</vt:lpstr>
      <vt:lpstr>Add.Income.2ndOrder</vt:lpstr>
      <vt:lpstr>Add.Income.Constant</vt:lpstr>
      <vt:lpstr>AddInc.Coeff.Sewerage</vt:lpstr>
      <vt:lpstr>AddInc.Coeff.Water</vt:lpstr>
      <vt:lpstr>All.Totex.Sewerage</vt:lpstr>
      <vt:lpstr>All.Totex.Water</vt:lpstr>
      <vt:lpstr>AllExp.Coeff.Sewerage</vt:lpstr>
      <vt:lpstr>AllExp.Coeff.Water</vt:lpstr>
      <vt:lpstr>Allowed.Exp.Constant</vt:lpstr>
      <vt:lpstr>Allowed.Exp.Slope</vt:lpstr>
      <vt:lpstr>Allowed.totex.final.memu.sewerage</vt:lpstr>
      <vt:lpstr>Allowed.totex.final.menu.water</vt:lpstr>
      <vt:lpstr>AMP.Years</vt:lpstr>
      <vt:lpstr>Baseline.Totex.Sewerage</vt:lpstr>
      <vt:lpstr>Baseline.Totex.Water</vt:lpstr>
      <vt:lpstr>Baseyear</vt:lpstr>
      <vt:lpstr>BR.IDoK.Water</vt:lpstr>
      <vt:lpstr>Calendar.Years</vt:lpstr>
      <vt:lpstr>Choice.BP</vt:lpstr>
      <vt:lpstr>Company.Baseline</vt:lpstr>
      <vt:lpstr>Company.Slope</vt:lpstr>
      <vt:lpstr>CompanyEnhanced</vt:lpstr>
      <vt:lpstr>CompanyForecase.Int</vt:lpstr>
      <vt:lpstr>CompanyName</vt:lpstr>
      <vt:lpstr>CompanyType</vt:lpstr>
      <vt:lpstr>Eff.Inc.Constant</vt:lpstr>
      <vt:lpstr>Eff.Inc.Slope</vt:lpstr>
      <vt:lpstr>EffInc.Coeff.Sewerage</vt:lpstr>
      <vt:lpstr>EffInc.Coeff.Water</vt:lpstr>
      <vt:lpstr>Enhanced.Baseline</vt:lpstr>
      <vt:lpstr>Enhanced.Flag</vt:lpstr>
      <vt:lpstr>FD.AddInc.Coeff.Sewerage</vt:lpstr>
      <vt:lpstr>FD.AddInc.Coeff.Water</vt:lpstr>
      <vt:lpstr>FD.AllExp.Coeff.Sewerage</vt:lpstr>
      <vt:lpstr>FD.AllExp.Coeff.Water</vt:lpstr>
      <vt:lpstr>FD.EffInc.Coeff.Sewerage</vt:lpstr>
      <vt:lpstr>FD.EffInc.Coeff.Water</vt:lpstr>
      <vt:lpstr>FD.Menu.Choice.Sewerage</vt:lpstr>
      <vt:lpstr>FD.Menu.Choice.Water</vt:lpstr>
      <vt:lpstr>FD.PDRC.Sewerage</vt:lpstr>
      <vt:lpstr>FD.PDRC.Water</vt:lpstr>
      <vt:lpstr>Indexation.Average</vt:lpstr>
      <vt:lpstr>Indexation.Average.Override</vt:lpstr>
      <vt:lpstr>Indexation.Check</vt:lpstr>
      <vt:lpstr>Indexation.November</vt:lpstr>
      <vt:lpstr>Indexation.November.Override</vt:lpstr>
      <vt:lpstr>Inflation.Yearly.Average</vt:lpstr>
      <vt:lpstr>IP.logging.Adj.TTT</vt:lpstr>
      <vt:lpstr>LB.AddInc</vt:lpstr>
      <vt:lpstr>LB.AllExp</vt:lpstr>
      <vt:lpstr>LB.Chosen</vt:lpstr>
      <vt:lpstr>LB.EffInc</vt:lpstr>
      <vt:lpstr>LB.Enhanced</vt:lpstr>
      <vt:lpstr>LB.NonEnhanced</vt:lpstr>
      <vt:lpstr>LegacyDep.Sewerage</vt:lpstr>
      <vt:lpstr>LegacyDep.Water</vt:lpstr>
      <vt:lpstr>Logging.TTT.Land</vt:lpstr>
      <vt:lpstr>Logging.TTT.scopeswaps</vt:lpstr>
      <vt:lpstr>Menu.Choice.Sewerage</vt:lpstr>
      <vt:lpstr>Menu.Choice.Water</vt:lpstr>
      <vt:lpstr>Menu.Totex</vt:lpstr>
      <vt:lpstr>Menu.Totex.Sewerage</vt:lpstr>
      <vt:lpstr>Menu.Totex.Water</vt:lpstr>
      <vt:lpstr>NonEnhanced.Baseline</vt:lpstr>
      <vt:lpstr>OfwatBaseline.Int</vt:lpstr>
      <vt:lpstr>Outturn.BP</vt:lpstr>
      <vt:lpstr>PAYG.Sewerage</vt:lpstr>
      <vt:lpstr>PAYG.Water</vt:lpstr>
      <vt:lpstr>Calcs!Print_Area</vt:lpstr>
      <vt:lpstr>RPI!Print_Area</vt:lpstr>
      <vt:lpstr>'Totex menu adjustments'!Print_Area</vt:lpstr>
      <vt:lpstr>Total.Adj.Sewerage</vt:lpstr>
      <vt:lpstr>Total.Adj.Water</vt:lpstr>
      <vt:lpstr>Totex.Adj.Sewerage</vt:lpstr>
      <vt:lpstr>Totex.Adj.Water</vt:lpstr>
      <vt:lpstr>TransitionExp.Sewerage</vt:lpstr>
      <vt:lpstr>TransitionExp.Water</vt:lpstr>
      <vt:lpstr>UB.AddInc</vt:lpstr>
      <vt:lpstr>UB.AllExp</vt:lpstr>
      <vt:lpstr>UB.Chosen</vt:lpstr>
      <vt:lpstr>UB.EffInc</vt:lpstr>
      <vt:lpstr>UB.Enhanced</vt:lpstr>
      <vt:lpstr>UB.NonEnhanced</vt:lpstr>
      <vt:lpstr>WACC</vt:lpstr>
      <vt:lpstr>WeightedPAYG.Sewerage</vt:lpstr>
      <vt:lpstr>WeightedPAYG.Water</vt:lpstr>
      <vt:lpstr>WoC.Flag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Crane</dc:creator>
  <cp:lastModifiedBy>Philip Saynor</cp:lastModifiedBy>
  <cp:lastPrinted>2018-07-03T13:58:55Z</cp:lastPrinted>
  <dcterms:created xsi:type="dcterms:W3CDTF">2015-03-03T21:58:54Z</dcterms:created>
  <dcterms:modified xsi:type="dcterms:W3CDTF">2019-07-15T08:08:51Z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0x010100F27D5039921C4D4BA35B6AB656E9FEF9</vt:lpwstr>
  </property>
</Properties>
</file>